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efos365-my.sharepoint.com/personal/dadujak_efos_hr/Documents/Excel za BAS4SC/ecxercises/Forecasting/"/>
    </mc:Choice>
  </mc:AlternateContent>
  <xr:revisionPtr revIDLastSave="143" documentId="8_{F09C8A6C-6CB7-41C6-B10D-F1CEE80569A1}" xr6:coauthVersionLast="47" xr6:coauthVersionMax="47" xr10:uidLastSave="{4EBEEBC9-F60D-4CBB-922D-0D4A6B3790D4}"/>
  <bookViews>
    <workbookView xWindow="19200" yWindow="0" windowWidth="19200" windowHeight="21000" firstSheet="1" activeTab="3" xr2:uid="{00000000-000D-0000-FFFF-FFFF00000000}"/>
  </bookViews>
  <sheets>
    <sheet name="Task I index - vertical" sheetId="10" r:id="rId1"/>
    <sheet name="Task II index - horizontal" sheetId="12" r:id="rId2"/>
    <sheet name="Task III - multiple indexes" sheetId="16" r:id="rId3"/>
    <sheet name="Summary" sheetId="17" r:id="rId4"/>
  </sheets>
  <definedNames>
    <definedName name="solver_adj" localSheetId="0" hidden="1">'Task I index - vertical'!$F$20,'Task I index - vertical'!$F$22,'Task I index - vertical'!$F$24</definedName>
    <definedName name="solver_adj" localSheetId="1" hidden="1">'Task II index - horizontal'!$A$20:$C$20</definedName>
    <definedName name="solver_adj" localSheetId="2" hidden="1">'Task III - multiple indexes'!$A$75:$C$75</definedName>
    <definedName name="solver_cvg" localSheetId="0" hidden="1">0.01</definedName>
    <definedName name="solver_cvg" localSheetId="1" hidden="1">0.001</definedName>
    <definedName name="solver_cvg" localSheetId="2" hidden="1">0.0001</definedName>
    <definedName name="solver_drv" localSheetId="0" hidden="1">1</definedName>
    <definedName name="solver_drv" localSheetId="1" hidden="1">2</definedName>
    <definedName name="solver_drv" localSheetId="2" hidden="1">2</definedName>
    <definedName name="solver_eng" localSheetId="0" hidden="1">3</definedName>
    <definedName name="solver_eng" localSheetId="1" hidden="1">3</definedName>
    <definedName name="solver_eng" localSheetId="2" hidden="1">3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itr" localSheetId="0" hidden="1">2147483647</definedName>
    <definedName name="solver_itr" localSheetId="1" hidden="1">2147483647</definedName>
    <definedName name="solver_itr" localSheetId="2" hidden="1">2147483647</definedName>
    <definedName name="solver_lhs1" localSheetId="0" hidden="1">'Task I index - vertical'!$F$20</definedName>
    <definedName name="solver_lhs1" localSheetId="1" hidden="1">'Task II index - horizontal'!$A$20:$C$20</definedName>
    <definedName name="solver_lhs1" localSheetId="2" hidden="1">'Task III - multiple indexes'!$A$75:$C$75</definedName>
    <definedName name="solver_lhs2" localSheetId="0" hidden="1">'Task I index - vertical'!$F$20</definedName>
    <definedName name="solver_lhs2" localSheetId="1" hidden="1">'Task II index - horizontal'!$A$20:$C$20</definedName>
    <definedName name="solver_lhs2" localSheetId="2" hidden="1">'Task III - multiple indexes'!$A$75:$C$75</definedName>
    <definedName name="solver_lhs3" localSheetId="0" hidden="1">'Task I index - vertical'!$F$22</definedName>
    <definedName name="solver_lhs4" localSheetId="0" hidden="1">'Task I index - vertical'!$F$22</definedName>
    <definedName name="solver_lhs5" localSheetId="0" hidden="1">'Task I index - vertical'!$F$24</definedName>
    <definedName name="solver_lhs6" localSheetId="0" hidden="1">'Task I index - vertical'!$F$24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ni" localSheetId="0" hidden="1">30</definedName>
    <definedName name="solver_mni" localSheetId="1" hidden="1">30</definedName>
    <definedName name="solver_mni" localSheetId="2" hidden="1">10</definedName>
    <definedName name="solver_mrt" localSheetId="0" hidden="1">0.01</definedName>
    <definedName name="solver_mrt" localSheetId="1" hidden="1">0.075</definedName>
    <definedName name="solver_mrt" localSheetId="2" hidden="1">0.075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um" localSheetId="0" hidden="1">6</definedName>
    <definedName name="solver_num" localSheetId="1" hidden="1">2</definedName>
    <definedName name="solver_num" localSheetId="2" hidden="1">2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opt" localSheetId="0" hidden="1">'Task I index - vertical'!$T$16</definedName>
    <definedName name="solver_opt" localSheetId="1" hidden="1">'Task II index - horizontal'!$BY$20</definedName>
    <definedName name="solver_opt" localSheetId="2" hidden="1">'Task III - multiple indexes'!$BZ$75</definedName>
    <definedName name="solver_pre" localSheetId="0" hidden="1">0.001</definedName>
    <definedName name="solver_pre" localSheetId="1" hidden="1">0.001</definedName>
    <definedName name="solver_pre" localSheetId="2" hidden="1">0.0001</definedName>
    <definedName name="solver_rbv" localSheetId="0" hidden="1">1</definedName>
    <definedName name="solver_rbv" localSheetId="1" hidden="1">2</definedName>
    <definedName name="solver_rbv" localSheetId="2" hidden="1">2</definedName>
    <definedName name="solver_rel1" localSheetId="0" hidden="1">1</definedName>
    <definedName name="solver_rel1" localSheetId="1" hidden="1">1</definedName>
    <definedName name="solver_rel1" localSheetId="2" hidden="1">1</definedName>
    <definedName name="solver_rel2" localSheetId="0" hidden="1">3</definedName>
    <definedName name="solver_rel2" localSheetId="1" hidden="1">3</definedName>
    <definedName name="solver_rel2" localSheetId="2" hidden="1">3</definedName>
    <definedName name="solver_rel3" localSheetId="0" hidden="1">1</definedName>
    <definedName name="solver_rel4" localSheetId="0" hidden="1">3</definedName>
    <definedName name="solver_rel5" localSheetId="0" hidden="1">1</definedName>
    <definedName name="solver_rel6" localSheetId="0" hidden="1">3</definedName>
    <definedName name="solver_rhs1" localSheetId="0" hidden="1">1</definedName>
    <definedName name="solver_rhs1" localSheetId="1" hidden="1">1</definedName>
    <definedName name="solver_rhs1" localSheetId="2" hidden="1">1</definedName>
    <definedName name="solver_rhs2" localSheetId="0" hidden="1">0</definedName>
    <definedName name="solver_rhs2" localSheetId="1" hidden="1">0</definedName>
    <definedName name="solver_rhs2" localSheetId="2" hidden="1">0</definedName>
    <definedName name="solver_rhs3" localSheetId="0" hidden="1">1</definedName>
    <definedName name="solver_rhs4" localSheetId="0" hidden="1">0</definedName>
    <definedName name="solver_rhs5" localSheetId="0" hidden="1">1</definedName>
    <definedName name="solver_rhs6" localSheetId="0" hidden="1">0</definedName>
    <definedName name="solver_rlx" localSheetId="0" hidden="1">2</definedName>
    <definedName name="solver_rlx" localSheetId="1" hidden="1">2</definedName>
    <definedName name="solver_rlx" localSheetId="2" hidden="1">2</definedName>
    <definedName name="solver_rsd" localSheetId="0" hidden="1">0</definedName>
    <definedName name="solver_rsd" localSheetId="1" hidden="1">0</definedName>
    <definedName name="solver_rsd" localSheetId="2" hidden="1">10</definedName>
    <definedName name="solver_scl" localSheetId="0" hidden="1">1</definedName>
    <definedName name="solver_scl" localSheetId="1" hidden="1">2</definedName>
    <definedName name="solver_scl" localSheetId="2" hidden="1">2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tim" localSheetId="0" hidden="1">2147483647</definedName>
    <definedName name="solver_tim" localSheetId="1" hidden="1">2147483647</definedName>
    <definedName name="solver_tim" localSheetId="2" hidden="1">2147483647</definedName>
    <definedName name="solver_tol" localSheetId="0" hidden="1">0.01</definedName>
    <definedName name="solver_tol" localSheetId="1" hidden="1">0.01</definedName>
    <definedName name="solver_tol" localSheetId="2" hidden="1">0.01</definedName>
    <definedName name="solver_typ" localSheetId="0" hidden="1">2</definedName>
    <definedName name="solver_typ" localSheetId="1" hidden="1">2</definedName>
    <definedName name="solver_typ" localSheetId="2" hidden="1">2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er" localSheetId="0" hidden="1">3</definedName>
    <definedName name="solver_ver" localSheetId="1" hidden="1">3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F3" i="16" l="1"/>
  <c r="CE3" i="16"/>
  <c r="CD3" i="16"/>
  <c r="CC3" i="16"/>
  <c r="CB3" i="16"/>
  <c r="CA3" i="16"/>
  <c r="BZ3" i="16"/>
  <c r="BY3" i="16"/>
  <c r="BX3" i="16"/>
  <c r="BW3" i="16"/>
  <c r="BV3" i="16"/>
  <c r="BU3" i="16"/>
  <c r="BT3" i="16"/>
  <c r="BS3" i="16"/>
  <c r="BR3" i="16"/>
  <c r="BQ3" i="16"/>
  <c r="BP3" i="16"/>
  <c r="BO3" i="16"/>
  <c r="BN3" i="16"/>
  <c r="BM3" i="16"/>
  <c r="BL3" i="16"/>
  <c r="BK3" i="16"/>
  <c r="FO84" i="16"/>
  <c r="CB84" i="16"/>
  <c r="FO83" i="16"/>
  <c r="CC83" i="16"/>
  <c r="CB83" i="16"/>
  <c r="FO82" i="16"/>
  <c r="CB82" i="16"/>
  <c r="FO81" i="16"/>
  <c r="CB81" i="16"/>
  <c r="CC81" i="16" s="1"/>
  <c r="CD81" i="16" s="1"/>
  <c r="CE81" i="16" s="1"/>
  <c r="CF81" i="16" s="1"/>
  <c r="CG81" i="16" s="1"/>
  <c r="CH81" i="16" s="1"/>
  <c r="BI81" i="16"/>
  <c r="BH81" i="16"/>
  <c r="BG81" i="16"/>
  <c r="BF81" i="16"/>
  <c r="BE81" i="16"/>
  <c r="BD81" i="16"/>
  <c r="FO80" i="16"/>
  <c r="CB80" i="16"/>
  <c r="FO79" i="16"/>
  <c r="CB79" i="16"/>
  <c r="FO78" i="16"/>
  <c r="CD78" i="16"/>
  <c r="CC78" i="16"/>
  <c r="CB78" i="16"/>
  <c r="FO77" i="16"/>
  <c r="CC77" i="16"/>
  <c r="CB77" i="16"/>
  <c r="FO76" i="16"/>
  <c r="CB76" i="16"/>
  <c r="FO75" i="16"/>
  <c r="CB75" i="16"/>
  <c r="BD75" i="16"/>
  <c r="AQ75" i="16"/>
  <c r="BP75" i="16" s="1"/>
  <c r="AP75" i="16"/>
  <c r="BO75" i="16" s="1"/>
  <c r="AO75" i="16"/>
  <c r="BN75" i="16" s="1"/>
  <c r="AN75" i="16"/>
  <c r="BM75" i="16" s="1"/>
  <c r="AM75" i="16"/>
  <c r="BL75" i="16" s="1"/>
  <c r="AL75" i="16"/>
  <c r="BK75" i="16" s="1"/>
  <c r="AK75" i="16"/>
  <c r="BJ75" i="16" s="1"/>
  <c r="AJ75" i="16"/>
  <c r="BI75" i="16" s="1"/>
  <c r="AI75" i="16"/>
  <c r="BH75" i="16" s="1"/>
  <c r="AH75" i="16"/>
  <c r="BG75" i="16" s="1"/>
  <c r="AG75" i="16"/>
  <c r="BF75" i="16" s="1"/>
  <c r="AF75" i="16"/>
  <c r="BE75" i="16" s="1"/>
  <c r="FO74" i="16"/>
  <c r="CB74" i="16"/>
  <c r="CC74" i="16" s="1"/>
  <c r="BD74" i="16"/>
  <c r="AQ74" i="16"/>
  <c r="BP74" i="16" s="1"/>
  <c r="AP74" i="16"/>
  <c r="BO74" i="16" s="1"/>
  <c r="AO74" i="16"/>
  <c r="BN74" i="16" s="1"/>
  <c r="AN74" i="16"/>
  <c r="BM74" i="16" s="1"/>
  <c r="AM74" i="16"/>
  <c r="BL74" i="16" s="1"/>
  <c r="AL74" i="16"/>
  <c r="BK74" i="16" s="1"/>
  <c r="AK74" i="16"/>
  <c r="BJ74" i="16" s="1"/>
  <c r="AJ74" i="16"/>
  <c r="BI74" i="16" s="1"/>
  <c r="AI74" i="16"/>
  <c r="BH74" i="16" s="1"/>
  <c r="AH74" i="16"/>
  <c r="BG74" i="16" s="1"/>
  <c r="AG74" i="16"/>
  <c r="BF74" i="16" s="1"/>
  <c r="AF74" i="16"/>
  <c r="BE74" i="16" s="1"/>
  <c r="FO73" i="16"/>
  <c r="CC73" i="16"/>
  <c r="CB73" i="16"/>
  <c r="BM73" i="16"/>
  <c r="BJ73" i="16"/>
  <c r="BG73" i="16"/>
  <c r="BE73" i="16"/>
  <c r="BD73" i="16"/>
  <c r="AQ73" i="16"/>
  <c r="BP73" i="16" s="1"/>
  <c r="AP73" i="16"/>
  <c r="BO73" i="16" s="1"/>
  <c r="AO73" i="16"/>
  <c r="BN73" i="16" s="1"/>
  <c r="AN73" i="16"/>
  <c r="AM73" i="16"/>
  <c r="BL73" i="16" s="1"/>
  <c r="AL73" i="16"/>
  <c r="BK73" i="16" s="1"/>
  <c r="AK73" i="16"/>
  <c r="AJ73" i="16"/>
  <c r="BI73" i="16" s="1"/>
  <c r="AI73" i="16"/>
  <c r="BH73" i="16" s="1"/>
  <c r="AH73" i="16"/>
  <c r="AG73" i="16"/>
  <c r="BF73" i="16" s="1"/>
  <c r="AF73" i="16"/>
  <c r="FO72" i="16"/>
  <c r="CB72" i="16"/>
  <c r="BO72" i="16"/>
  <c r="BJ72" i="16"/>
  <c r="BG72" i="16"/>
  <c r="BD72" i="16"/>
  <c r="AQ72" i="16"/>
  <c r="BP72" i="16" s="1"/>
  <c r="AP72" i="16"/>
  <c r="AO72" i="16"/>
  <c r="BN72" i="16" s="1"/>
  <c r="AN72" i="16"/>
  <c r="BM72" i="16" s="1"/>
  <c r="AM72" i="16"/>
  <c r="BL72" i="16" s="1"/>
  <c r="AL72" i="16"/>
  <c r="BK72" i="16" s="1"/>
  <c r="AK72" i="16"/>
  <c r="AJ72" i="16"/>
  <c r="BI72" i="16" s="1"/>
  <c r="AI72" i="16"/>
  <c r="BH72" i="16" s="1"/>
  <c r="AH72" i="16"/>
  <c r="AG72" i="16"/>
  <c r="BF72" i="16" s="1"/>
  <c r="AF72" i="16"/>
  <c r="BE72" i="16" s="1"/>
  <c r="FO71" i="16"/>
  <c r="CB71" i="16"/>
  <c r="CC71" i="16" s="1"/>
  <c r="BP71" i="16"/>
  <c r="BO71" i="16"/>
  <c r="BL71" i="16"/>
  <c r="BG71" i="16"/>
  <c r="BD71" i="16"/>
  <c r="AQ71" i="16"/>
  <c r="AP71" i="16"/>
  <c r="AO71" i="16"/>
  <c r="BN71" i="16" s="1"/>
  <c r="AN71" i="16"/>
  <c r="BM71" i="16" s="1"/>
  <c r="AM71" i="16"/>
  <c r="AL71" i="16"/>
  <c r="BK71" i="16" s="1"/>
  <c r="AK71" i="16"/>
  <c r="BJ71" i="16" s="1"/>
  <c r="AJ71" i="16"/>
  <c r="BI71" i="16" s="1"/>
  <c r="AI71" i="16"/>
  <c r="BH71" i="16" s="1"/>
  <c r="AH71" i="16"/>
  <c r="AG71" i="16"/>
  <c r="BF71" i="16" s="1"/>
  <c r="AF71" i="16"/>
  <c r="BE71" i="16" s="1"/>
  <c r="FO70" i="16"/>
  <c r="CC70" i="16"/>
  <c r="CB70" i="16"/>
  <c r="BN70" i="16"/>
  <c r="BM70" i="16"/>
  <c r="BL70" i="16"/>
  <c r="BI70" i="16"/>
  <c r="BD70" i="16"/>
  <c r="AQ70" i="16"/>
  <c r="BP70" i="16" s="1"/>
  <c r="AP70" i="16"/>
  <c r="BO70" i="16" s="1"/>
  <c r="AO70" i="16"/>
  <c r="AN70" i="16"/>
  <c r="AM70" i="16"/>
  <c r="AL70" i="16"/>
  <c r="BK70" i="16" s="1"/>
  <c r="AK70" i="16"/>
  <c r="BJ70" i="16" s="1"/>
  <c r="AJ70" i="16"/>
  <c r="AI70" i="16"/>
  <c r="BH70" i="16" s="1"/>
  <c r="AH70" i="16"/>
  <c r="BG70" i="16" s="1"/>
  <c r="AG70" i="16"/>
  <c r="BF70" i="16" s="1"/>
  <c r="AF70" i="16"/>
  <c r="BE70" i="16" s="1"/>
  <c r="FO69" i="16"/>
  <c r="CB69" i="16"/>
  <c r="CC69" i="16" s="1"/>
  <c r="CD69" i="16" s="1"/>
  <c r="CE69" i="16" s="1"/>
  <c r="BN69" i="16"/>
  <c r="BI69" i="16"/>
  <c r="BF69" i="16"/>
  <c r="BD69" i="16"/>
  <c r="AQ69" i="16"/>
  <c r="BP69" i="16" s="1"/>
  <c r="AP69" i="16"/>
  <c r="BO69" i="16" s="1"/>
  <c r="AO69" i="16"/>
  <c r="AN69" i="16"/>
  <c r="BM69" i="16" s="1"/>
  <c r="AM69" i="16"/>
  <c r="BL69" i="16" s="1"/>
  <c r="AL69" i="16"/>
  <c r="BK69" i="16" s="1"/>
  <c r="AK69" i="16"/>
  <c r="BJ69" i="16" s="1"/>
  <c r="AJ69" i="16"/>
  <c r="AI69" i="16"/>
  <c r="BH69" i="16" s="1"/>
  <c r="AH69" i="16"/>
  <c r="BG69" i="16" s="1"/>
  <c r="AG69" i="16"/>
  <c r="AF69" i="16"/>
  <c r="BE69" i="16" s="1"/>
  <c r="FO68" i="16"/>
  <c r="CE68" i="16"/>
  <c r="CD68" i="16"/>
  <c r="CB68" i="16"/>
  <c r="CC68" i="16" s="1"/>
  <c r="BK68" i="16"/>
  <c r="BI68" i="16"/>
  <c r="BD68" i="16"/>
  <c r="AQ68" i="16"/>
  <c r="BP68" i="16" s="1"/>
  <c r="AP68" i="16"/>
  <c r="BO68" i="16" s="1"/>
  <c r="AO68" i="16"/>
  <c r="BN68" i="16" s="1"/>
  <c r="AN68" i="16"/>
  <c r="BM68" i="16" s="1"/>
  <c r="AM68" i="16"/>
  <c r="BL68" i="16" s="1"/>
  <c r="AL68" i="16"/>
  <c r="AK68" i="16"/>
  <c r="BJ68" i="16" s="1"/>
  <c r="AJ68" i="16"/>
  <c r="AI68" i="16"/>
  <c r="BH68" i="16" s="1"/>
  <c r="AH68" i="16"/>
  <c r="BG68" i="16" s="1"/>
  <c r="AG68" i="16"/>
  <c r="BF68" i="16" s="1"/>
  <c r="AF68" i="16"/>
  <c r="BE68" i="16" s="1"/>
  <c r="FO67" i="16"/>
  <c r="CD67" i="16"/>
  <c r="CB67" i="16"/>
  <c r="CC67" i="16" s="1"/>
  <c r="BN67" i="16"/>
  <c r="BJ67" i="16"/>
  <c r="BG67" i="16"/>
  <c r="BF67" i="16"/>
  <c r="BD67" i="16"/>
  <c r="AQ67" i="16"/>
  <c r="BP67" i="16" s="1"/>
  <c r="AP67" i="16"/>
  <c r="BO67" i="16" s="1"/>
  <c r="AO67" i="16"/>
  <c r="AN67" i="16"/>
  <c r="BM67" i="16" s="1"/>
  <c r="AM67" i="16"/>
  <c r="BL67" i="16" s="1"/>
  <c r="AL67" i="16"/>
  <c r="BK67" i="16" s="1"/>
  <c r="AK67" i="16"/>
  <c r="AJ67" i="16"/>
  <c r="BI67" i="16" s="1"/>
  <c r="AI67" i="16"/>
  <c r="BH67" i="16" s="1"/>
  <c r="AH67" i="16"/>
  <c r="AG67" i="16"/>
  <c r="AF67" i="16"/>
  <c r="BE67" i="16" s="1"/>
  <c r="FO66" i="16"/>
  <c r="DA66" i="16"/>
  <c r="CC66" i="16"/>
  <c r="CB66" i="16"/>
  <c r="DW66" i="16" s="1"/>
  <c r="BD66" i="16"/>
  <c r="FO65" i="16"/>
  <c r="DW65" i="16"/>
  <c r="DA65" i="16"/>
  <c r="CC65" i="16"/>
  <c r="CB65" i="16"/>
  <c r="BD65" i="16"/>
  <c r="AF65" i="16"/>
  <c r="BE65" i="16" s="1"/>
  <c r="FO64" i="16"/>
  <c r="DW64" i="16"/>
  <c r="CC64" i="16"/>
  <c r="CB64" i="16"/>
  <c r="DA64" i="16" s="1"/>
  <c r="BD64" i="16"/>
  <c r="AF64" i="16"/>
  <c r="BE64" i="16" s="1"/>
  <c r="FO63" i="16"/>
  <c r="DW63" i="16"/>
  <c r="DA63" i="16"/>
  <c r="CC63" i="16"/>
  <c r="DB63" i="16" s="1"/>
  <c r="AG63" i="16" s="1"/>
  <c r="BF63" i="16" s="1"/>
  <c r="CB63" i="16"/>
  <c r="BD63" i="16"/>
  <c r="AF63" i="16"/>
  <c r="BE63" i="16" s="1"/>
  <c r="FO62" i="16"/>
  <c r="CB62" i="16"/>
  <c r="DA62" i="16" s="1"/>
  <c r="BD62" i="16"/>
  <c r="FO61" i="16"/>
  <c r="DA61" i="16"/>
  <c r="AF61" i="16" s="1"/>
  <c r="CC61" i="16"/>
  <c r="CD61" i="16" s="1"/>
  <c r="CB61" i="16"/>
  <c r="DW61" i="16" s="1"/>
  <c r="BD61" i="16"/>
  <c r="FO60" i="16"/>
  <c r="DW60" i="16"/>
  <c r="CB60" i="16"/>
  <c r="CC60" i="16" s="1"/>
  <c r="BD60" i="16"/>
  <c r="FO59" i="16"/>
  <c r="DW59" i="16"/>
  <c r="CB59" i="16"/>
  <c r="DA59" i="16" s="1"/>
  <c r="BD59" i="16"/>
  <c r="FO58" i="16"/>
  <c r="CB58" i="16"/>
  <c r="DA58" i="16" s="1"/>
  <c r="BD58" i="16"/>
  <c r="FO57" i="16"/>
  <c r="CC57" i="16"/>
  <c r="CD57" i="16" s="1"/>
  <c r="CE57" i="16" s="1"/>
  <c r="CF57" i="16" s="1"/>
  <c r="CG57" i="16" s="1"/>
  <c r="CH57" i="16" s="1"/>
  <c r="CI57" i="16" s="1"/>
  <c r="CJ57" i="16" s="1"/>
  <c r="CK57" i="16" s="1"/>
  <c r="CL57" i="16" s="1"/>
  <c r="CM57" i="16" s="1"/>
  <c r="CN57" i="16" s="1"/>
  <c r="CO57" i="16" s="1"/>
  <c r="CP57" i="16" s="1"/>
  <c r="CQ57" i="16" s="1"/>
  <c r="CR57" i="16" s="1"/>
  <c r="CS57" i="16" s="1"/>
  <c r="CT57" i="16" s="1"/>
  <c r="CU57" i="16" s="1"/>
  <c r="CV57" i="16" s="1"/>
  <c r="CW57" i="16" s="1"/>
  <c r="CX57" i="16" s="1"/>
  <c r="CY57" i="16" s="1"/>
  <c r="CZ57" i="16" s="1"/>
  <c r="CB57" i="16"/>
  <c r="BH57" i="16"/>
  <c r="BF57" i="16"/>
  <c r="BE57" i="16"/>
  <c r="BD57" i="16"/>
  <c r="AJ57" i="16"/>
  <c r="AI57" i="16"/>
  <c r="AH57" i="16"/>
  <c r="BG57" i="16" s="1"/>
  <c r="FO56" i="16"/>
  <c r="CC56" i="16"/>
  <c r="CD56" i="16" s="1"/>
  <c r="CE56" i="16" s="1"/>
  <c r="CF56" i="16" s="1"/>
  <c r="CG56" i="16" s="1"/>
  <c r="CH56" i="16" s="1"/>
  <c r="CI56" i="16" s="1"/>
  <c r="CJ56" i="16" s="1"/>
  <c r="CK56" i="16" s="1"/>
  <c r="CL56" i="16" s="1"/>
  <c r="CM56" i="16" s="1"/>
  <c r="CN56" i="16" s="1"/>
  <c r="CO56" i="16" s="1"/>
  <c r="CP56" i="16" s="1"/>
  <c r="CQ56" i="16" s="1"/>
  <c r="CR56" i="16" s="1"/>
  <c r="CS56" i="16" s="1"/>
  <c r="CT56" i="16" s="1"/>
  <c r="CU56" i="16" s="1"/>
  <c r="CV56" i="16" s="1"/>
  <c r="CW56" i="16" s="1"/>
  <c r="CX56" i="16" s="1"/>
  <c r="CY56" i="16" s="1"/>
  <c r="CZ56" i="16" s="1"/>
  <c r="CB56" i="16"/>
  <c r="BK56" i="16"/>
  <c r="BJ56" i="16"/>
  <c r="BI56" i="16"/>
  <c r="BH56" i="16"/>
  <c r="BG56" i="16"/>
  <c r="BF56" i="16"/>
  <c r="BE56" i="16"/>
  <c r="BD56" i="16"/>
  <c r="AM56" i="16"/>
  <c r="FO55" i="16"/>
  <c r="CC55" i="16"/>
  <c r="CD55" i="16" s="1"/>
  <c r="CE55" i="16" s="1"/>
  <c r="CF55" i="16" s="1"/>
  <c r="CG55" i="16" s="1"/>
  <c r="CH55" i="16" s="1"/>
  <c r="CI55" i="16" s="1"/>
  <c r="CJ55" i="16" s="1"/>
  <c r="CK55" i="16" s="1"/>
  <c r="CL55" i="16" s="1"/>
  <c r="CM55" i="16" s="1"/>
  <c r="CN55" i="16" s="1"/>
  <c r="CO55" i="16" s="1"/>
  <c r="CP55" i="16" s="1"/>
  <c r="CQ55" i="16" s="1"/>
  <c r="CR55" i="16" s="1"/>
  <c r="CS55" i="16" s="1"/>
  <c r="CT55" i="16" s="1"/>
  <c r="CU55" i="16" s="1"/>
  <c r="CV55" i="16" s="1"/>
  <c r="CW55" i="16" s="1"/>
  <c r="CX55" i="16" s="1"/>
  <c r="CY55" i="16" s="1"/>
  <c r="CZ55" i="16" s="1"/>
  <c r="CB55" i="16"/>
  <c r="BH55" i="16"/>
  <c r="BG55" i="16"/>
  <c r="BF55" i="16"/>
  <c r="BE55" i="16"/>
  <c r="BD55" i="16"/>
  <c r="AK55" i="16"/>
  <c r="BJ55" i="16" s="1"/>
  <c r="AJ55" i="16"/>
  <c r="BI55" i="16" s="1"/>
  <c r="FO54" i="16"/>
  <c r="CB54" i="16"/>
  <c r="CC54" i="16" s="1"/>
  <c r="CD54" i="16" s="1"/>
  <c r="CE54" i="16" s="1"/>
  <c r="CF54" i="16" s="1"/>
  <c r="CG54" i="16" s="1"/>
  <c r="CH54" i="16" s="1"/>
  <c r="CI54" i="16" s="1"/>
  <c r="CJ54" i="16" s="1"/>
  <c r="CK54" i="16" s="1"/>
  <c r="CL54" i="16" s="1"/>
  <c r="CM54" i="16" s="1"/>
  <c r="CN54" i="16" s="1"/>
  <c r="CO54" i="16" s="1"/>
  <c r="CP54" i="16" s="1"/>
  <c r="CQ54" i="16" s="1"/>
  <c r="CR54" i="16" s="1"/>
  <c r="CS54" i="16" s="1"/>
  <c r="CT54" i="16" s="1"/>
  <c r="CU54" i="16" s="1"/>
  <c r="CV54" i="16" s="1"/>
  <c r="CW54" i="16" s="1"/>
  <c r="CX54" i="16" s="1"/>
  <c r="CY54" i="16" s="1"/>
  <c r="CZ54" i="16" s="1"/>
  <c r="BF54" i="16"/>
  <c r="BE54" i="16"/>
  <c r="BD54" i="16"/>
  <c r="AH54" i="16"/>
  <c r="BG54" i="16" s="1"/>
  <c r="FO53" i="16"/>
  <c r="CB53" i="16"/>
  <c r="CC53" i="16" s="1"/>
  <c r="CD53" i="16" s="1"/>
  <c r="CE53" i="16" s="1"/>
  <c r="CF53" i="16" s="1"/>
  <c r="CG53" i="16" s="1"/>
  <c r="CH53" i="16" s="1"/>
  <c r="CI53" i="16" s="1"/>
  <c r="CJ53" i="16" s="1"/>
  <c r="CK53" i="16" s="1"/>
  <c r="CL53" i="16" s="1"/>
  <c r="CM53" i="16" s="1"/>
  <c r="CN53" i="16" s="1"/>
  <c r="CO53" i="16" s="1"/>
  <c r="CP53" i="16" s="1"/>
  <c r="CQ53" i="16" s="1"/>
  <c r="CR53" i="16" s="1"/>
  <c r="CS53" i="16" s="1"/>
  <c r="CT53" i="16" s="1"/>
  <c r="CU53" i="16" s="1"/>
  <c r="CV53" i="16" s="1"/>
  <c r="CW53" i="16" s="1"/>
  <c r="CX53" i="16" s="1"/>
  <c r="CY53" i="16" s="1"/>
  <c r="CZ53" i="16" s="1"/>
  <c r="BE53" i="16"/>
  <c r="BD53" i="16"/>
  <c r="AG53" i="16"/>
  <c r="BF53" i="16" s="1"/>
  <c r="FO52" i="16"/>
  <c r="CC52" i="16"/>
  <c r="CD52" i="16" s="1"/>
  <c r="CE52" i="16" s="1"/>
  <c r="CF52" i="16" s="1"/>
  <c r="CG52" i="16" s="1"/>
  <c r="CH52" i="16" s="1"/>
  <c r="CI52" i="16" s="1"/>
  <c r="CJ52" i="16" s="1"/>
  <c r="CK52" i="16" s="1"/>
  <c r="CL52" i="16" s="1"/>
  <c r="CM52" i="16" s="1"/>
  <c r="CN52" i="16" s="1"/>
  <c r="CO52" i="16" s="1"/>
  <c r="CP52" i="16" s="1"/>
  <c r="CQ52" i="16" s="1"/>
  <c r="CR52" i="16" s="1"/>
  <c r="CS52" i="16" s="1"/>
  <c r="CT52" i="16" s="1"/>
  <c r="CU52" i="16" s="1"/>
  <c r="CV52" i="16" s="1"/>
  <c r="CW52" i="16" s="1"/>
  <c r="CX52" i="16" s="1"/>
  <c r="CY52" i="16" s="1"/>
  <c r="CZ52" i="16" s="1"/>
  <c r="CB52" i="16"/>
  <c r="BJ52" i="16"/>
  <c r="BI52" i="16"/>
  <c r="BH52" i="16"/>
  <c r="BG52" i="16"/>
  <c r="BF52" i="16"/>
  <c r="BE52" i="16"/>
  <c r="BD52" i="16"/>
  <c r="AL52" i="16"/>
  <c r="AK52" i="16"/>
  <c r="FO51" i="16"/>
  <c r="CB51" i="16"/>
  <c r="CC51" i="16" s="1"/>
  <c r="CD51" i="16" s="1"/>
  <c r="CE51" i="16" s="1"/>
  <c r="CF51" i="16" s="1"/>
  <c r="CG51" i="16" s="1"/>
  <c r="CH51" i="16" s="1"/>
  <c r="CI51" i="16" s="1"/>
  <c r="CJ51" i="16" s="1"/>
  <c r="CK51" i="16" s="1"/>
  <c r="CL51" i="16" s="1"/>
  <c r="CM51" i="16" s="1"/>
  <c r="CN51" i="16" s="1"/>
  <c r="CO51" i="16" s="1"/>
  <c r="CP51" i="16" s="1"/>
  <c r="CQ51" i="16" s="1"/>
  <c r="CR51" i="16" s="1"/>
  <c r="CS51" i="16" s="1"/>
  <c r="CT51" i="16" s="1"/>
  <c r="CU51" i="16" s="1"/>
  <c r="CV51" i="16" s="1"/>
  <c r="CW51" i="16" s="1"/>
  <c r="CX51" i="16" s="1"/>
  <c r="CY51" i="16" s="1"/>
  <c r="CZ51" i="16" s="1"/>
  <c r="BD51" i="16"/>
  <c r="AF51" i="16"/>
  <c r="BE51" i="16" s="1"/>
  <c r="FO50" i="16"/>
  <c r="CB50" i="16"/>
  <c r="CC50" i="16" s="1"/>
  <c r="CD50" i="16" s="1"/>
  <c r="CE50" i="16" s="1"/>
  <c r="CF50" i="16" s="1"/>
  <c r="CG50" i="16" s="1"/>
  <c r="CH50" i="16" s="1"/>
  <c r="CI50" i="16" s="1"/>
  <c r="CJ50" i="16" s="1"/>
  <c r="CK50" i="16" s="1"/>
  <c r="CL50" i="16" s="1"/>
  <c r="CM50" i="16" s="1"/>
  <c r="CN50" i="16" s="1"/>
  <c r="CO50" i="16" s="1"/>
  <c r="CP50" i="16" s="1"/>
  <c r="CQ50" i="16" s="1"/>
  <c r="CR50" i="16" s="1"/>
  <c r="CS50" i="16" s="1"/>
  <c r="CT50" i="16" s="1"/>
  <c r="CU50" i="16" s="1"/>
  <c r="CV50" i="16" s="1"/>
  <c r="CW50" i="16" s="1"/>
  <c r="CX50" i="16" s="1"/>
  <c r="CY50" i="16" s="1"/>
  <c r="CZ50" i="16" s="1"/>
  <c r="BD50" i="16"/>
  <c r="AF50" i="16"/>
  <c r="FO49" i="16"/>
  <c r="CC49" i="16"/>
  <c r="CD49" i="16" s="1"/>
  <c r="CE49" i="16" s="1"/>
  <c r="CF49" i="16" s="1"/>
  <c r="CG49" i="16" s="1"/>
  <c r="CH49" i="16" s="1"/>
  <c r="CI49" i="16" s="1"/>
  <c r="CJ49" i="16" s="1"/>
  <c r="CK49" i="16" s="1"/>
  <c r="CL49" i="16" s="1"/>
  <c r="CM49" i="16" s="1"/>
  <c r="CN49" i="16" s="1"/>
  <c r="CO49" i="16" s="1"/>
  <c r="CP49" i="16" s="1"/>
  <c r="CQ49" i="16" s="1"/>
  <c r="CR49" i="16" s="1"/>
  <c r="CS49" i="16" s="1"/>
  <c r="CT49" i="16" s="1"/>
  <c r="CU49" i="16" s="1"/>
  <c r="CV49" i="16" s="1"/>
  <c r="CW49" i="16" s="1"/>
  <c r="CX49" i="16" s="1"/>
  <c r="CY49" i="16" s="1"/>
  <c r="CZ49" i="16" s="1"/>
  <c r="CB49" i="16"/>
  <c r="BD49" i="16"/>
  <c r="AF49" i="16"/>
  <c r="BE49" i="16" s="1"/>
  <c r="FO48" i="16"/>
  <c r="CC48" i="16"/>
  <c r="CB48" i="16"/>
  <c r="FO47" i="16"/>
  <c r="CB47" i="16"/>
  <c r="FO46" i="16"/>
  <c r="CG46" i="16"/>
  <c r="CC46" i="16"/>
  <c r="CD46" i="16" s="1"/>
  <c r="CE46" i="16" s="1"/>
  <c r="CF46" i="16" s="1"/>
  <c r="CB46" i="16"/>
  <c r="FO45" i="16"/>
  <c r="CC45" i="16"/>
  <c r="CD45" i="16" s="1"/>
  <c r="CB45" i="16"/>
  <c r="AE45" i="16"/>
  <c r="BD45" i="16" s="1"/>
  <c r="FO44" i="16"/>
  <c r="CC44" i="16"/>
  <c r="CB44" i="16"/>
  <c r="FO43" i="16"/>
  <c r="CC43" i="16"/>
  <c r="CD43" i="16" s="1"/>
  <c r="CE43" i="16" s="1"/>
  <c r="CB43" i="16"/>
  <c r="FO42" i="16"/>
  <c r="CB42" i="16"/>
  <c r="CC42" i="16" s="1"/>
  <c r="FO41" i="16"/>
  <c r="CB41" i="16"/>
  <c r="FO40" i="16"/>
  <c r="CB40" i="16"/>
  <c r="FO39" i="16"/>
  <c r="CD39" i="16"/>
  <c r="CC39" i="16"/>
  <c r="CB39" i="16"/>
  <c r="FO38" i="16"/>
  <c r="CC38" i="16"/>
  <c r="CB38" i="16"/>
  <c r="FO37" i="16"/>
  <c r="CB37" i="16"/>
  <c r="CC37" i="16" s="1"/>
  <c r="CD37" i="16" s="1"/>
  <c r="FO36" i="16"/>
  <c r="CC36" i="16"/>
  <c r="CB36" i="16"/>
  <c r="AE36" i="16"/>
  <c r="BD36" i="16" s="1"/>
  <c r="FO35" i="16"/>
  <c r="CB35" i="16"/>
  <c r="FO34" i="16"/>
  <c r="CC34" i="16"/>
  <c r="CD34" i="16" s="1"/>
  <c r="CE34" i="16" s="1"/>
  <c r="CB34" i="16"/>
  <c r="FO33" i="16"/>
  <c r="CC33" i="16"/>
  <c r="CB33" i="16"/>
  <c r="FO32" i="16"/>
  <c r="CC32" i="16"/>
  <c r="CD32" i="16" s="1"/>
  <c r="CE32" i="16" s="1"/>
  <c r="CB32" i="16"/>
  <c r="FO31" i="16"/>
  <c r="CB31" i="16"/>
  <c r="CC31" i="16" s="1"/>
  <c r="FO30" i="16"/>
  <c r="BF30" i="16"/>
  <c r="BE30" i="16"/>
  <c r="BD30" i="16"/>
  <c r="BC30" i="16"/>
  <c r="BA30" i="16"/>
  <c r="BB30" i="16" s="1"/>
  <c r="AZ30" i="16"/>
  <c r="BY30" i="16" s="1"/>
  <c r="AY30" i="16"/>
  <c r="BX30" i="16" s="1"/>
  <c r="AX30" i="16"/>
  <c r="BW30" i="16" s="1"/>
  <c r="AW30" i="16"/>
  <c r="BV30" i="16" s="1"/>
  <c r="AV30" i="16"/>
  <c r="BU30" i="16" s="1"/>
  <c r="AU30" i="16"/>
  <c r="BT30" i="16" s="1"/>
  <c r="AT30" i="16"/>
  <c r="BS30" i="16" s="1"/>
  <c r="AS30" i="16"/>
  <c r="BR30" i="16" s="1"/>
  <c r="AR30" i="16"/>
  <c r="BQ30" i="16" s="1"/>
  <c r="AQ30" i="16"/>
  <c r="BP30" i="16" s="1"/>
  <c r="AP30" i="16"/>
  <c r="BO30" i="16" s="1"/>
  <c r="AO30" i="16"/>
  <c r="BN30" i="16" s="1"/>
  <c r="AN30" i="16"/>
  <c r="BM30" i="16" s="1"/>
  <c r="AM30" i="16"/>
  <c r="BL30" i="16" s="1"/>
  <c r="AL30" i="16"/>
  <c r="BK30" i="16" s="1"/>
  <c r="AK30" i="16"/>
  <c r="BJ30" i="16" s="1"/>
  <c r="AJ30" i="16"/>
  <c r="BI30" i="16" s="1"/>
  <c r="AI30" i="16"/>
  <c r="BH30" i="16" s="1"/>
  <c r="AH30" i="16"/>
  <c r="BG30" i="16" s="1"/>
  <c r="FO29" i="16"/>
  <c r="BT29" i="16"/>
  <c r="BR29" i="16"/>
  <c r="BF29" i="16"/>
  <c r="BE29" i="16"/>
  <c r="BD29" i="16"/>
  <c r="BB29" i="16"/>
  <c r="BC29" i="16" s="1"/>
  <c r="BA29" i="16"/>
  <c r="AZ29" i="16"/>
  <c r="BY29" i="16" s="1"/>
  <c r="AY29" i="16"/>
  <c r="BX29" i="16" s="1"/>
  <c r="AX29" i="16"/>
  <c r="BW29" i="16" s="1"/>
  <c r="AW29" i="16"/>
  <c r="BV29" i="16" s="1"/>
  <c r="AV29" i="16"/>
  <c r="BU29" i="16" s="1"/>
  <c r="AU29" i="16"/>
  <c r="AT29" i="16"/>
  <c r="BS29" i="16" s="1"/>
  <c r="AS29" i="16"/>
  <c r="AR29" i="16"/>
  <c r="BQ29" i="16" s="1"/>
  <c r="AQ29" i="16"/>
  <c r="BP29" i="16" s="1"/>
  <c r="AP29" i="16"/>
  <c r="BO29" i="16" s="1"/>
  <c r="AO29" i="16"/>
  <c r="BN29" i="16" s="1"/>
  <c r="AN29" i="16"/>
  <c r="BM29" i="16" s="1"/>
  <c r="AM29" i="16"/>
  <c r="BL29" i="16" s="1"/>
  <c r="AL29" i="16"/>
  <c r="BK29" i="16" s="1"/>
  <c r="AK29" i="16"/>
  <c r="BJ29" i="16" s="1"/>
  <c r="AJ29" i="16"/>
  <c r="BI29" i="16" s="1"/>
  <c r="AI29" i="16"/>
  <c r="BH29" i="16" s="1"/>
  <c r="AH29" i="16"/>
  <c r="BG29" i="16" s="1"/>
  <c r="FO28" i="16"/>
  <c r="BY28" i="16"/>
  <c r="BF28" i="16"/>
  <c r="BE28" i="16"/>
  <c r="BD28" i="16"/>
  <c r="BC28" i="16"/>
  <c r="BA28" i="16"/>
  <c r="BB28" i="16" s="1"/>
  <c r="AZ28" i="16"/>
  <c r="AY28" i="16"/>
  <c r="BX28" i="16" s="1"/>
  <c r="AX28" i="16"/>
  <c r="BW28" i="16" s="1"/>
  <c r="AW28" i="16"/>
  <c r="BV28" i="16" s="1"/>
  <c r="AV28" i="16"/>
  <c r="BU28" i="16" s="1"/>
  <c r="AU28" i="16"/>
  <c r="BT28" i="16" s="1"/>
  <c r="AT28" i="16"/>
  <c r="BS28" i="16" s="1"/>
  <c r="AS28" i="16"/>
  <c r="BR28" i="16" s="1"/>
  <c r="AR28" i="16"/>
  <c r="BQ28" i="16" s="1"/>
  <c r="AQ28" i="16"/>
  <c r="BP28" i="16" s="1"/>
  <c r="AP28" i="16"/>
  <c r="BO28" i="16" s="1"/>
  <c r="AO28" i="16"/>
  <c r="BN28" i="16" s="1"/>
  <c r="AN28" i="16"/>
  <c r="BM28" i="16" s="1"/>
  <c r="AM28" i="16"/>
  <c r="BL28" i="16" s="1"/>
  <c r="AL28" i="16"/>
  <c r="BK28" i="16" s="1"/>
  <c r="AK28" i="16"/>
  <c r="BJ28" i="16" s="1"/>
  <c r="AJ28" i="16"/>
  <c r="BI28" i="16" s="1"/>
  <c r="AI28" i="16"/>
  <c r="BH28" i="16" s="1"/>
  <c r="AH28" i="16"/>
  <c r="BG28" i="16" s="1"/>
  <c r="FO27" i="16"/>
  <c r="BX27" i="16"/>
  <c r="BR27" i="16"/>
  <c r="BH27" i="16"/>
  <c r="BF27" i="16"/>
  <c r="BE27" i="16"/>
  <c r="BD27" i="16"/>
  <c r="BB27" i="16"/>
  <c r="BC27" i="16" s="1"/>
  <c r="BA27" i="16"/>
  <c r="AZ27" i="16"/>
  <c r="BY27" i="16" s="1"/>
  <c r="AY27" i="16"/>
  <c r="AX27" i="16"/>
  <c r="BW27" i="16" s="1"/>
  <c r="AW27" i="16"/>
  <c r="BV27" i="16" s="1"/>
  <c r="AV27" i="16"/>
  <c r="BU27" i="16" s="1"/>
  <c r="AU27" i="16"/>
  <c r="BT27" i="16" s="1"/>
  <c r="AT27" i="16"/>
  <c r="BS27" i="16" s="1"/>
  <c r="AS27" i="16"/>
  <c r="AR27" i="16"/>
  <c r="BQ27" i="16" s="1"/>
  <c r="AQ27" i="16"/>
  <c r="BP27" i="16" s="1"/>
  <c r="AP27" i="16"/>
  <c r="BO27" i="16" s="1"/>
  <c r="AO27" i="16"/>
  <c r="BN27" i="16" s="1"/>
  <c r="AN27" i="16"/>
  <c r="BM27" i="16" s="1"/>
  <c r="AM27" i="16"/>
  <c r="BL27" i="16" s="1"/>
  <c r="AL27" i="16"/>
  <c r="BK27" i="16" s="1"/>
  <c r="AK27" i="16"/>
  <c r="BJ27" i="16" s="1"/>
  <c r="AJ27" i="16"/>
  <c r="BI27" i="16" s="1"/>
  <c r="AI27" i="16"/>
  <c r="AH27" i="16"/>
  <c r="BG27" i="16" s="1"/>
  <c r="FO26" i="16"/>
  <c r="BY26" i="16"/>
  <c r="BG26" i="16"/>
  <c r="BF26" i="16"/>
  <c r="BE26" i="16"/>
  <c r="BD26" i="16"/>
  <c r="BB26" i="16"/>
  <c r="BC26" i="16" s="1"/>
  <c r="BA26" i="16"/>
  <c r="AZ26" i="16"/>
  <c r="AY26" i="16"/>
  <c r="BX26" i="16" s="1"/>
  <c r="AX26" i="16"/>
  <c r="BW26" i="16" s="1"/>
  <c r="AW26" i="16"/>
  <c r="BV26" i="16" s="1"/>
  <c r="AV26" i="16"/>
  <c r="BU26" i="16" s="1"/>
  <c r="AU26" i="16"/>
  <c r="BT26" i="16" s="1"/>
  <c r="AT26" i="16"/>
  <c r="BS26" i="16" s="1"/>
  <c r="AS26" i="16"/>
  <c r="BR26" i="16" s="1"/>
  <c r="AR26" i="16"/>
  <c r="BQ26" i="16" s="1"/>
  <c r="AQ26" i="16"/>
  <c r="BP26" i="16" s="1"/>
  <c r="AP26" i="16"/>
  <c r="BO26" i="16" s="1"/>
  <c r="AO26" i="16"/>
  <c r="BN26" i="16" s="1"/>
  <c r="AN26" i="16"/>
  <c r="BM26" i="16" s="1"/>
  <c r="AM26" i="16"/>
  <c r="BL26" i="16" s="1"/>
  <c r="AL26" i="16"/>
  <c r="BK26" i="16" s="1"/>
  <c r="AK26" i="16"/>
  <c r="BJ26" i="16" s="1"/>
  <c r="AJ26" i="16"/>
  <c r="BI26" i="16" s="1"/>
  <c r="AI26" i="16"/>
  <c r="BH26" i="16" s="1"/>
  <c r="AH26" i="16"/>
  <c r="FO25" i="16"/>
  <c r="BY25" i="16"/>
  <c r="BX25" i="16"/>
  <c r="BH25" i="16"/>
  <c r="BF25" i="16"/>
  <c r="BE25" i="16"/>
  <c r="BD25" i="16"/>
  <c r="BA25" i="16"/>
  <c r="BB25" i="16" s="1"/>
  <c r="BC25" i="16" s="1"/>
  <c r="AZ25" i="16"/>
  <c r="AY25" i="16"/>
  <c r="AX25" i="16"/>
  <c r="BW25" i="16" s="1"/>
  <c r="AW25" i="16"/>
  <c r="BV25" i="16" s="1"/>
  <c r="AV25" i="16"/>
  <c r="BU25" i="16" s="1"/>
  <c r="AU25" i="16"/>
  <c r="BT25" i="16" s="1"/>
  <c r="AT25" i="16"/>
  <c r="BS25" i="16" s="1"/>
  <c r="AS25" i="16"/>
  <c r="BR25" i="16" s="1"/>
  <c r="AR25" i="16"/>
  <c r="BQ25" i="16" s="1"/>
  <c r="AQ25" i="16"/>
  <c r="BP25" i="16" s="1"/>
  <c r="AP25" i="16"/>
  <c r="BO25" i="16" s="1"/>
  <c r="AO25" i="16"/>
  <c r="BN25" i="16" s="1"/>
  <c r="AN25" i="16"/>
  <c r="BM25" i="16" s="1"/>
  <c r="AM25" i="16"/>
  <c r="BL25" i="16" s="1"/>
  <c r="AL25" i="16"/>
  <c r="BK25" i="16" s="1"/>
  <c r="AK25" i="16"/>
  <c r="BJ25" i="16" s="1"/>
  <c r="AJ25" i="16"/>
  <c r="BI25" i="16" s="1"/>
  <c r="AI25" i="16"/>
  <c r="AH25" i="16"/>
  <c r="BG25" i="16" s="1"/>
  <c r="FO24" i="16"/>
  <c r="BX24" i="16"/>
  <c r="BG24" i="16"/>
  <c r="BF24" i="16"/>
  <c r="BE24" i="16"/>
  <c r="BD24" i="16"/>
  <c r="BA24" i="16"/>
  <c r="BB24" i="16" s="1"/>
  <c r="BC24" i="16" s="1"/>
  <c r="AZ24" i="16"/>
  <c r="BY24" i="16" s="1"/>
  <c r="AY24" i="16"/>
  <c r="AX24" i="16"/>
  <c r="BW24" i="16" s="1"/>
  <c r="AW24" i="16"/>
  <c r="BV24" i="16" s="1"/>
  <c r="AV24" i="16"/>
  <c r="BU24" i="16" s="1"/>
  <c r="AU24" i="16"/>
  <c r="BT24" i="16" s="1"/>
  <c r="AT24" i="16"/>
  <c r="BS24" i="16" s="1"/>
  <c r="AS24" i="16"/>
  <c r="BR24" i="16" s="1"/>
  <c r="AR24" i="16"/>
  <c r="BQ24" i="16" s="1"/>
  <c r="AQ24" i="16"/>
  <c r="BP24" i="16" s="1"/>
  <c r="AP24" i="16"/>
  <c r="BO24" i="16" s="1"/>
  <c r="AO24" i="16"/>
  <c r="BN24" i="16" s="1"/>
  <c r="AN24" i="16"/>
  <c r="BM24" i="16" s="1"/>
  <c r="AM24" i="16"/>
  <c r="BL24" i="16" s="1"/>
  <c r="AL24" i="16"/>
  <c r="BK24" i="16" s="1"/>
  <c r="AK24" i="16"/>
  <c r="BJ24" i="16" s="1"/>
  <c r="AJ24" i="16"/>
  <c r="BI24" i="16" s="1"/>
  <c r="AI24" i="16"/>
  <c r="BH24" i="16" s="1"/>
  <c r="AH24" i="16"/>
  <c r="FO23" i="16"/>
  <c r="BF23" i="16"/>
  <c r="BE23" i="16"/>
  <c r="BD23" i="16"/>
  <c r="BA23" i="16"/>
  <c r="BB23" i="16" s="1"/>
  <c r="BC23" i="16" s="1"/>
  <c r="AZ23" i="16"/>
  <c r="BY23" i="16" s="1"/>
  <c r="AY23" i="16"/>
  <c r="BX23" i="16" s="1"/>
  <c r="AX23" i="16"/>
  <c r="BW23" i="16" s="1"/>
  <c r="AW23" i="16"/>
  <c r="BV23" i="16" s="1"/>
  <c r="AV23" i="16"/>
  <c r="BU23" i="16" s="1"/>
  <c r="AU23" i="16"/>
  <c r="BT23" i="16" s="1"/>
  <c r="AT23" i="16"/>
  <c r="BS23" i="16" s="1"/>
  <c r="AS23" i="16"/>
  <c r="BR23" i="16" s="1"/>
  <c r="AR23" i="16"/>
  <c r="BQ23" i="16" s="1"/>
  <c r="AQ23" i="16"/>
  <c r="BP23" i="16" s="1"/>
  <c r="AP23" i="16"/>
  <c r="BO23" i="16" s="1"/>
  <c r="AO23" i="16"/>
  <c r="BN23" i="16" s="1"/>
  <c r="AN23" i="16"/>
  <c r="BM23" i="16" s="1"/>
  <c r="AM23" i="16"/>
  <c r="BL23" i="16" s="1"/>
  <c r="AL23" i="16"/>
  <c r="BK23" i="16" s="1"/>
  <c r="AK23" i="16"/>
  <c r="BJ23" i="16" s="1"/>
  <c r="AJ23" i="16"/>
  <c r="BI23" i="16" s="1"/>
  <c r="AI23" i="16"/>
  <c r="BH23" i="16" s="1"/>
  <c r="AH23" i="16"/>
  <c r="BG23" i="16" s="1"/>
  <c r="FO22" i="16"/>
  <c r="BF22" i="16"/>
  <c r="BE22" i="16"/>
  <c r="BD22" i="16"/>
  <c r="BC22" i="16"/>
  <c r="BA22" i="16"/>
  <c r="BB22" i="16" s="1"/>
  <c r="AZ22" i="16"/>
  <c r="BY22" i="16" s="1"/>
  <c r="AY22" i="16"/>
  <c r="BX22" i="16" s="1"/>
  <c r="AX22" i="16"/>
  <c r="BW22" i="16" s="1"/>
  <c r="AW22" i="16"/>
  <c r="BV22" i="16" s="1"/>
  <c r="AV22" i="16"/>
  <c r="BU22" i="16" s="1"/>
  <c r="AU22" i="16"/>
  <c r="BT22" i="16" s="1"/>
  <c r="AT22" i="16"/>
  <c r="BS22" i="16" s="1"/>
  <c r="AS22" i="16"/>
  <c r="BR22" i="16" s="1"/>
  <c r="AR22" i="16"/>
  <c r="BQ22" i="16" s="1"/>
  <c r="AQ22" i="16"/>
  <c r="BP22" i="16" s="1"/>
  <c r="AP22" i="16"/>
  <c r="BO22" i="16" s="1"/>
  <c r="AO22" i="16"/>
  <c r="BN22" i="16" s="1"/>
  <c r="AN22" i="16"/>
  <c r="BM22" i="16" s="1"/>
  <c r="AM22" i="16"/>
  <c r="BL22" i="16" s="1"/>
  <c r="AL22" i="16"/>
  <c r="BK22" i="16" s="1"/>
  <c r="AK22" i="16"/>
  <c r="BJ22" i="16" s="1"/>
  <c r="AJ22" i="16"/>
  <c r="BI22" i="16" s="1"/>
  <c r="AI22" i="16"/>
  <c r="BH22" i="16" s="1"/>
  <c r="FO21" i="16"/>
  <c r="BH21" i="16"/>
  <c r="BG21" i="16"/>
  <c r="BF21" i="16"/>
  <c r="BE21" i="16"/>
  <c r="BD21" i="16"/>
  <c r="F21" i="16"/>
  <c r="FO20" i="16"/>
  <c r="BH20" i="16"/>
  <c r="BG20" i="16"/>
  <c r="BF20" i="16"/>
  <c r="BE20" i="16"/>
  <c r="BD20" i="16"/>
  <c r="F20" i="16"/>
  <c r="FO19" i="16"/>
  <c r="BH19" i="16"/>
  <c r="BG19" i="16"/>
  <c r="BF19" i="16"/>
  <c r="BE19" i="16"/>
  <c r="BD19" i="16"/>
  <c r="F19" i="16"/>
  <c r="FO18" i="16"/>
  <c r="BH18" i="16"/>
  <c r="BG18" i="16"/>
  <c r="BF18" i="16"/>
  <c r="BE18" i="16"/>
  <c r="BD18" i="16"/>
  <c r="F18" i="16"/>
  <c r="FO17" i="16"/>
  <c r="BH17" i="16"/>
  <c r="BG17" i="16"/>
  <c r="BF17" i="16"/>
  <c r="BE17" i="16"/>
  <c r="BD17" i="16"/>
  <c r="F17" i="16"/>
  <c r="FO16" i="16"/>
  <c r="BH16" i="16"/>
  <c r="BG16" i="16"/>
  <c r="BF16" i="16"/>
  <c r="BE16" i="16"/>
  <c r="BD16" i="16"/>
  <c r="F16" i="16"/>
  <c r="FO15" i="16"/>
  <c r="BH15" i="16"/>
  <c r="BG15" i="16"/>
  <c r="BF15" i="16"/>
  <c r="BE15" i="16"/>
  <c r="BD15" i="16"/>
  <c r="F15" i="16"/>
  <c r="FO14" i="16"/>
  <c r="BH14" i="16"/>
  <c r="BG14" i="16"/>
  <c r="BF14" i="16"/>
  <c r="BE14" i="16"/>
  <c r="BD14" i="16"/>
  <c r="F14" i="16"/>
  <c r="FO13" i="16"/>
  <c r="BH13" i="16"/>
  <c r="BF13" i="16"/>
  <c r="BE13" i="16"/>
  <c r="BD13" i="16"/>
  <c r="F13" i="16"/>
  <c r="FO12" i="16"/>
  <c r="BV12" i="16"/>
  <c r="BU12" i="16"/>
  <c r="BR12" i="16"/>
  <c r="BN12" i="16"/>
  <c r="BM12" i="16"/>
  <c r="BJ12" i="16"/>
  <c r="BF12" i="16"/>
  <c r="BE12" i="16"/>
  <c r="BD12" i="16"/>
  <c r="BC12" i="16"/>
  <c r="BB12" i="16"/>
  <c r="BA12" i="16"/>
  <c r="AZ12" i="16"/>
  <c r="BY12" i="16" s="1"/>
  <c r="AY12" i="16"/>
  <c r="BX12" i="16" s="1"/>
  <c r="AX12" i="16"/>
  <c r="BW12" i="16" s="1"/>
  <c r="AW12" i="16"/>
  <c r="AV12" i="16"/>
  <c r="AU12" i="16"/>
  <c r="BT12" i="16" s="1"/>
  <c r="AT12" i="16"/>
  <c r="BS12" i="16" s="1"/>
  <c r="AS12" i="16"/>
  <c r="AR12" i="16"/>
  <c r="BQ12" i="16" s="1"/>
  <c r="AQ12" i="16"/>
  <c r="BP12" i="16" s="1"/>
  <c r="AP12" i="16"/>
  <c r="BO12" i="16" s="1"/>
  <c r="AO12" i="16"/>
  <c r="AN12" i="16"/>
  <c r="AM12" i="16"/>
  <c r="BL12" i="16" s="1"/>
  <c r="AL12" i="16"/>
  <c r="BK12" i="16" s="1"/>
  <c r="AK12" i="16"/>
  <c r="AJ12" i="16"/>
  <c r="BI12" i="16" s="1"/>
  <c r="AI12" i="16"/>
  <c r="BH12" i="16" s="1"/>
  <c r="AH12" i="16"/>
  <c r="BG12" i="16" s="1"/>
  <c r="AG12" i="16"/>
  <c r="AF12" i="16"/>
  <c r="FO11" i="16"/>
  <c r="BW11" i="16"/>
  <c r="BV11" i="16"/>
  <c r="BT11" i="16"/>
  <c r="BS11" i="16"/>
  <c r="BO11" i="16"/>
  <c r="BN11" i="16"/>
  <c r="BL11" i="16"/>
  <c r="BK11" i="16"/>
  <c r="BG11" i="16"/>
  <c r="BF11" i="16"/>
  <c r="BD11" i="16"/>
  <c r="BZ11" i="16" s="1"/>
  <c r="CA11" i="16" s="1"/>
  <c r="BA11" i="16"/>
  <c r="BB11" i="16" s="1"/>
  <c r="BC11" i="16" s="1"/>
  <c r="AZ11" i="16"/>
  <c r="BY11" i="16" s="1"/>
  <c r="AY11" i="16"/>
  <c r="BX11" i="16" s="1"/>
  <c r="AX11" i="16"/>
  <c r="AW11" i="16"/>
  <c r="AV11" i="16"/>
  <c r="BU11" i="16" s="1"/>
  <c r="AU11" i="16"/>
  <c r="AT11" i="16"/>
  <c r="AS11" i="16"/>
  <c r="BR11" i="16" s="1"/>
  <c r="AR11" i="16"/>
  <c r="BQ11" i="16" s="1"/>
  <c r="AQ11" i="16"/>
  <c r="BP11" i="16" s="1"/>
  <c r="AP11" i="16"/>
  <c r="AO11" i="16"/>
  <c r="AN11" i="16"/>
  <c r="BM11" i="16" s="1"/>
  <c r="AM11" i="16"/>
  <c r="AL11" i="16"/>
  <c r="AK11" i="16"/>
  <c r="BJ11" i="16" s="1"/>
  <c r="AJ11" i="16"/>
  <c r="BI11" i="16" s="1"/>
  <c r="AI11" i="16"/>
  <c r="BH11" i="16" s="1"/>
  <c r="AH11" i="16"/>
  <c r="AG11" i="16"/>
  <c r="AF11" i="16"/>
  <c r="BE11" i="16" s="1"/>
  <c r="FO10" i="16"/>
  <c r="BX10" i="16"/>
  <c r="BW10" i="16"/>
  <c r="BT10" i="16"/>
  <c r="BP10" i="16"/>
  <c r="BO10" i="16"/>
  <c r="BL10" i="16"/>
  <c r="BH10" i="16"/>
  <c r="BG10" i="16"/>
  <c r="BD10" i="16"/>
  <c r="BA10" i="16"/>
  <c r="BB10" i="16" s="1"/>
  <c r="BC10" i="16" s="1"/>
  <c r="AZ10" i="16"/>
  <c r="BY10" i="16" s="1"/>
  <c r="AY10" i="16"/>
  <c r="AX10" i="16"/>
  <c r="AW10" i="16"/>
  <c r="BV10" i="16" s="1"/>
  <c r="AV10" i="16"/>
  <c r="BU10" i="16" s="1"/>
  <c r="AU10" i="16"/>
  <c r="AT10" i="16"/>
  <c r="BS10" i="16" s="1"/>
  <c r="AS10" i="16"/>
  <c r="BR10" i="16" s="1"/>
  <c r="AR10" i="16"/>
  <c r="BQ10" i="16" s="1"/>
  <c r="AQ10" i="16"/>
  <c r="AP10" i="16"/>
  <c r="AO10" i="16"/>
  <c r="BN10" i="16" s="1"/>
  <c r="AN10" i="16"/>
  <c r="BM10" i="16" s="1"/>
  <c r="AM10" i="16"/>
  <c r="AL10" i="16"/>
  <c r="BK10" i="16" s="1"/>
  <c r="AK10" i="16"/>
  <c r="BJ10" i="16" s="1"/>
  <c r="AJ10" i="16"/>
  <c r="BI10" i="16" s="1"/>
  <c r="AI10" i="16"/>
  <c r="AH10" i="16"/>
  <c r="AG10" i="16"/>
  <c r="BF10" i="16" s="1"/>
  <c r="AF10" i="16"/>
  <c r="BE10" i="16" s="1"/>
  <c r="FO9" i="16"/>
  <c r="BY9" i="16"/>
  <c r="BX9" i="16"/>
  <c r="BU9" i="16"/>
  <c r="BQ9" i="16"/>
  <c r="BP9" i="16"/>
  <c r="BM9" i="16"/>
  <c r="BI9" i="16"/>
  <c r="BH9" i="16"/>
  <c r="BE9" i="16"/>
  <c r="BD9" i="16"/>
  <c r="BA9" i="16"/>
  <c r="BB9" i="16" s="1"/>
  <c r="BC9" i="16" s="1"/>
  <c r="AZ9" i="16"/>
  <c r="AY9" i="16"/>
  <c r="AX9" i="16"/>
  <c r="BW9" i="16" s="1"/>
  <c r="AW9" i="16"/>
  <c r="BV9" i="16" s="1"/>
  <c r="AV9" i="16"/>
  <c r="AU9" i="16"/>
  <c r="BT9" i="16" s="1"/>
  <c r="AT9" i="16"/>
  <c r="BS9" i="16" s="1"/>
  <c r="AS9" i="16"/>
  <c r="BR9" i="16" s="1"/>
  <c r="AR9" i="16"/>
  <c r="AQ9" i="16"/>
  <c r="AP9" i="16"/>
  <c r="BO9" i="16" s="1"/>
  <c r="AO9" i="16"/>
  <c r="BN9" i="16" s="1"/>
  <c r="AN9" i="16"/>
  <c r="AM9" i="16"/>
  <c r="BL9" i="16" s="1"/>
  <c r="AL9" i="16"/>
  <c r="BK9" i="16" s="1"/>
  <c r="AK9" i="16"/>
  <c r="BJ9" i="16" s="1"/>
  <c r="AJ9" i="16"/>
  <c r="AI9" i="16"/>
  <c r="AH9" i="16"/>
  <c r="BG9" i="16" s="1"/>
  <c r="AG9" i="16"/>
  <c r="BF9" i="16" s="1"/>
  <c r="AF9" i="16"/>
  <c r="FO8" i="16"/>
  <c r="BY8" i="16"/>
  <c r="BV8" i="16"/>
  <c r="BR8" i="16"/>
  <c r="BQ8" i="16"/>
  <c r="BN8" i="16"/>
  <c r="BJ8" i="16"/>
  <c r="BI8" i="16"/>
  <c r="BF8" i="16"/>
  <c r="BD8" i="16"/>
  <c r="BB8" i="16"/>
  <c r="BC8" i="16" s="1"/>
  <c r="BA8" i="16"/>
  <c r="AZ8" i="16"/>
  <c r="AY8" i="16"/>
  <c r="BX8" i="16" s="1"/>
  <c r="AX8" i="16"/>
  <c r="BW8" i="16" s="1"/>
  <c r="AW8" i="16"/>
  <c r="AV8" i="16"/>
  <c r="BU8" i="16" s="1"/>
  <c r="AU8" i="16"/>
  <c r="BT8" i="16" s="1"/>
  <c r="AT8" i="16"/>
  <c r="BS8" i="16" s="1"/>
  <c r="AS8" i="16"/>
  <c r="AR8" i="16"/>
  <c r="AQ8" i="16"/>
  <c r="BP8" i="16" s="1"/>
  <c r="AP8" i="16"/>
  <c r="BO8" i="16" s="1"/>
  <c r="AO8" i="16"/>
  <c r="AN8" i="16"/>
  <c r="BM8" i="16" s="1"/>
  <c r="AM8" i="16"/>
  <c r="BL8" i="16" s="1"/>
  <c r="AL8" i="16"/>
  <c r="BK8" i="16" s="1"/>
  <c r="AK8" i="16"/>
  <c r="AJ8" i="16"/>
  <c r="AI8" i="16"/>
  <c r="BH8" i="16" s="1"/>
  <c r="AH8" i="16"/>
  <c r="BG8" i="16" s="1"/>
  <c r="AG8" i="16"/>
  <c r="AF8" i="16"/>
  <c r="BE8" i="16" s="1"/>
  <c r="BZ8" i="16" s="1"/>
  <c r="CA8" i="16" s="1"/>
  <c r="FO7" i="16"/>
  <c r="BW7" i="16"/>
  <c r="BS7" i="16"/>
  <c r="BR7" i="16"/>
  <c r="BO7" i="16"/>
  <c r="BK7" i="16"/>
  <c r="BJ7" i="16"/>
  <c r="BG7" i="16"/>
  <c r="BD7" i="16"/>
  <c r="BC7" i="16"/>
  <c r="BB7" i="16"/>
  <c r="BA7" i="16"/>
  <c r="AZ7" i="16"/>
  <c r="BY7" i="16" s="1"/>
  <c r="AY7" i="16"/>
  <c r="BX7" i="16" s="1"/>
  <c r="AX7" i="16"/>
  <c r="AW7" i="16"/>
  <c r="BV7" i="16" s="1"/>
  <c r="AV7" i="16"/>
  <c r="BU7" i="16" s="1"/>
  <c r="AU7" i="16"/>
  <c r="BT7" i="16" s="1"/>
  <c r="AT7" i="16"/>
  <c r="AS7" i="16"/>
  <c r="AR7" i="16"/>
  <c r="BQ7" i="16" s="1"/>
  <c r="AQ7" i="16"/>
  <c r="BP7" i="16" s="1"/>
  <c r="AP7" i="16"/>
  <c r="AO7" i="16"/>
  <c r="BN7" i="16" s="1"/>
  <c r="AN7" i="16"/>
  <c r="BM7" i="16" s="1"/>
  <c r="AM7" i="16"/>
  <c r="BL7" i="16" s="1"/>
  <c r="AL7" i="16"/>
  <c r="AK7" i="16"/>
  <c r="AJ7" i="16"/>
  <c r="BI7" i="16" s="1"/>
  <c r="AI7" i="16"/>
  <c r="BH7" i="16" s="1"/>
  <c r="AH7" i="16"/>
  <c r="AG7" i="16"/>
  <c r="BF7" i="16" s="1"/>
  <c r="AF7" i="16"/>
  <c r="BE7" i="16" s="1"/>
  <c r="FO6" i="16"/>
  <c r="BX6" i="16"/>
  <c r="BT6" i="16"/>
  <c r="BS6" i="16"/>
  <c r="BP6" i="16"/>
  <c r="BL6" i="16"/>
  <c r="BK6" i="16"/>
  <c r="BD6" i="16"/>
  <c r="BA6" i="16"/>
  <c r="BB6" i="16" s="1"/>
  <c r="BC6" i="16" s="1"/>
  <c r="AZ6" i="16"/>
  <c r="BY6" i="16" s="1"/>
  <c r="AY6" i="16"/>
  <c r="AX6" i="16"/>
  <c r="BW6" i="16" s="1"/>
  <c r="AW6" i="16"/>
  <c r="BV6" i="16" s="1"/>
  <c r="AV6" i="16"/>
  <c r="BU6" i="16" s="1"/>
  <c r="AU6" i="16"/>
  <c r="AT6" i="16"/>
  <c r="AS6" i="16"/>
  <c r="BR6" i="16" s="1"/>
  <c r="AR6" i="16"/>
  <c r="BQ6" i="16" s="1"/>
  <c r="AQ6" i="16"/>
  <c r="AP6" i="16"/>
  <c r="BO6" i="16" s="1"/>
  <c r="AO6" i="16"/>
  <c r="BN6" i="16" s="1"/>
  <c r="AN6" i="16"/>
  <c r="BM6" i="16" s="1"/>
  <c r="AM6" i="16"/>
  <c r="AL6" i="16"/>
  <c r="AK6" i="16"/>
  <c r="BJ6" i="16" s="1"/>
  <c r="AJ6" i="16"/>
  <c r="BI6" i="16" s="1"/>
  <c r="AI6" i="16"/>
  <c r="BH6" i="16" s="1"/>
  <c r="AH6" i="16"/>
  <c r="BG6" i="16" s="1"/>
  <c r="AG6" i="16"/>
  <c r="BF6" i="16" s="1"/>
  <c r="AF6" i="16"/>
  <c r="BE6" i="16" s="1"/>
  <c r="FO5" i="16"/>
  <c r="BU5" i="16"/>
  <c r="BT5" i="16"/>
  <c r="BM5" i="16"/>
  <c r="BL5" i="16"/>
  <c r="BE5" i="16"/>
  <c r="BD5" i="16"/>
  <c r="BA5" i="16"/>
  <c r="BB5" i="16" s="1"/>
  <c r="BC5" i="16" s="1"/>
  <c r="AZ5" i="16"/>
  <c r="BY5" i="16" s="1"/>
  <c r="AY5" i="16"/>
  <c r="BX5" i="16" s="1"/>
  <c r="AX5" i="16"/>
  <c r="BW5" i="16" s="1"/>
  <c r="AW5" i="16"/>
  <c r="BV5" i="16" s="1"/>
  <c r="AV5" i="16"/>
  <c r="AU5" i="16"/>
  <c r="AT5" i="16"/>
  <c r="BS5" i="16" s="1"/>
  <c r="AS5" i="16"/>
  <c r="BR5" i="16" s="1"/>
  <c r="AR5" i="16"/>
  <c r="BQ5" i="16" s="1"/>
  <c r="AQ5" i="16"/>
  <c r="BP5" i="16" s="1"/>
  <c r="AP5" i="16"/>
  <c r="BO5" i="16" s="1"/>
  <c r="AO5" i="16"/>
  <c r="BN5" i="16" s="1"/>
  <c r="AN5" i="16"/>
  <c r="AM5" i="16"/>
  <c r="AL5" i="16"/>
  <c r="BK5" i="16" s="1"/>
  <c r="AK5" i="16"/>
  <c r="BJ5" i="16" s="1"/>
  <c r="AJ5" i="16"/>
  <c r="BI5" i="16" s="1"/>
  <c r="AI5" i="16"/>
  <c r="BH5" i="16" s="1"/>
  <c r="AH5" i="16"/>
  <c r="BG5" i="16" s="1"/>
  <c r="AG5" i="16"/>
  <c r="BF5" i="16" s="1"/>
  <c r="AF5" i="16"/>
  <c r="FO4" i="16"/>
  <c r="BV4" i="16"/>
  <c r="BU4" i="16"/>
  <c r="BN4" i="16"/>
  <c r="BM4" i="16"/>
  <c r="BF4" i="16"/>
  <c r="BE4" i="16"/>
  <c r="BD4" i="16"/>
  <c r="BB4" i="16"/>
  <c r="BC4" i="16" s="1"/>
  <c r="BA4" i="16"/>
  <c r="AZ4" i="16"/>
  <c r="BY4" i="16" s="1"/>
  <c r="AY4" i="16"/>
  <c r="BX4" i="16" s="1"/>
  <c r="AX4" i="16"/>
  <c r="BW4" i="16" s="1"/>
  <c r="AW4" i="16"/>
  <c r="AV4" i="16"/>
  <c r="AU4" i="16"/>
  <c r="BT4" i="16" s="1"/>
  <c r="AT4" i="16"/>
  <c r="BS4" i="16" s="1"/>
  <c r="AS4" i="16"/>
  <c r="BR4" i="16" s="1"/>
  <c r="AR4" i="16"/>
  <c r="BQ4" i="16" s="1"/>
  <c r="AQ4" i="16"/>
  <c r="BP4" i="16" s="1"/>
  <c r="AP4" i="16"/>
  <c r="BO4" i="16" s="1"/>
  <c r="AO4" i="16"/>
  <c r="AN4" i="16"/>
  <c r="AM4" i="16"/>
  <c r="BL4" i="16" s="1"/>
  <c r="AL4" i="16"/>
  <c r="BK4" i="16" s="1"/>
  <c r="AK4" i="16"/>
  <c r="BJ4" i="16" s="1"/>
  <c r="AJ4" i="16"/>
  <c r="BI4" i="16" s="1"/>
  <c r="AI4" i="16"/>
  <c r="BH4" i="16" s="1"/>
  <c r="AH4" i="16"/>
  <c r="BG4" i="16" s="1"/>
  <c r="AG4" i="16"/>
  <c r="AF4" i="16"/>
  <c r="AS15" i="16"/>
  <c r="AS14" i="16"/>
  <c r="AU20" i="16"/>
  <c r="AY20" i="16"/>
  <c r="BA14" i="16"/>
  <c r="AM15" i="16"/>
  <c r="AK14" i="16"/>
  <c r="AY16" i="16"/>
  <c r="AJ15" i="16"/>
  <c r="AW17" i="16"/>
  <c r="AT16" i="16"/>
  <c r="AZ16" i="16"/>
  <c r="AK15" i="16"/>
  <c r="AU14" i="16"/>
  <c r="AY14" i="16"/>
  <c r="AU15" i="16"/>
  <c r="AY18" i="16"/>
  <c r="AW20" i="16"/>
  <c r="AW16" i="16"/>
  <c r="AX13" i="16"/>
  <c r="AZ15" i="16"/>
  <c r="AZ20" i="16"/>
  <c r="AM19" i="16"/>
  <c r="AR13" i="16"/>
  <c r="AV18" i="16"/>
  <c r="AL17" i="16"/>
  <c r="AX15" i="16"/>
  <c r="AP19" i="16"/>
  <c r="AN17" i="16"/>
  <c r="AL16" i="16"/>
  <c r="AZ19" i="16"/>
  <c r="AJ20" i="16"/>
  <c r="AU19" i="16"/>
  <c r="AN18" i="16"/>
  <c r="AM14" i="16"/>
  <c r="AJ16" i="16"/>
  <c r="AR15" i="16"/>
  <c r="AH13" i="16"/>
  <c r="AX14" i="16"/>
  <c r="AP18" i="16"/>
  <c r="AQ13" i="16"/>
  <c r="AX19" i="16"/>
  <c r="AT20" i="16"/>
  <c r="BA15" i="16"/>
  <c r="AW19" i="16"/>
  <c r="AW15" i="16"/>
  <c r="BA19" i="16"/>
  <c r="AS19" i="16"/>
  <c r="AU16" i="16"/>
  <c r="AN21" i="16"/>
  <c r="AX18" i="16"/>
  <c r="AK19" i="16"/>
  <c r="AR19" i="16"/>
  <c r="AO21" i="16"/>
  <c r="AR14" i="16"/>
  <c r="BA21" i="16"/>
  <c r="AJ13" i="16"/>
  <c r="AW21" i="16"/>
  <c r="AP15" i="16"/>
  <c r="AM16" i="16"/>
  <c r="AO20" i="16"/>
  <c r="AP14" i="16"/>
  <c r="AM20" i="16"/>
  <c r="AQ18" i="16"/>
  <c r="AR20" i="16"/>
  <c r="AO16" i="16"/>
  <c r="AL20" i="16"/>
  <c r="AV21" i="16"/>
  <c r="AJ14" i="16"/>
  <c r="AJ19" i="16"/>
  <c r="AZ14" i="16"/>
  <c r="AY13" i="16"/>
  <c r="AH22" i="16"/>
  <c r="AO14" i="16"/>
  <c r="AT21" i="16"/>
  <c r="AZ13" i="16"/>
  <c r="AL21" i="16"/>
  <c r="AR16" i="16"/>
  <c r="AW14" i="16"/>
  <c r="AL14" i="16"/>
  <c r="AT14" i="16"/>
  <c r="AG49" i="16" l="1"/>
  <c r="BZ26" i="16"/>
  <c r="CA26" i="16" s="1"/>
  <c r="BV17" i="16"/>
  <c r="BX14" i="16"/>
  <c r="BW13" i="16"/>
  <c r="BG13" i="16"/>
  <c r="BY15" i="16"/>
  <c r="BO18" i="16"/>
  <c r="BY13" i="16"/>
  <c r="BM17" i="16"/>
  <c r="BK20" i="16"/>
  <c r="BL14" i="16"/>
  <c r="BT14" i="16"/>
  <c r="BL15" i="16"/>
  <c r="BT16" i="16"/>
  <c r="BU18" i="16"/>
  <c r="BI19" i="16"/>
  <c r="BL20" i="16"/>
  <c r="BN21" i="16"/>
  <c r="BR14" i="16"/>
  <c r="BY19" i="16"/>
  <c r="BS14" i="16"/>
  <c r="BV19" i="16"/>
  <c r="BO15" i="16"/>
  <c r="BX16" i="16"/>
  <c r="BV16" i="16"/>
  <c r="BW18" i="16"/>
  <c r="BJ19" i="16"/>
  <c r="BQ20" i="16"/>
  <c r="BS21" i="16"/>
  <c r="BX13" i="16"/>
  <c r="BK21" i="16"/>
  <c r="BI13" i="16"/>
  <c r="BJ15" i="16"/>
  <c r="BB19" i="16"/>
  <c r="BC19" i="16" s="1"/>
  <c r="BN14" i="16"/>
  <c r="BV14" i="16"/>
  <c r="BQ15" i="16"/>
  <c r="BI16" i="16"/>
  <c r="BY16" i="16"/>
  <c r="BX18" i="16"/>
  <c r="BO19" i="16"/>
  <c r="BS20" i="16"/>
  <c r="BU21" i="16"/>
  <c r="BG22" i="16"/>
  <c r="BB14" i="16"/>
  <c r="BC14" i="16" s="1"/>
  <c r="BK17" i="16"/>
  <c r="BQ13" i="16"/>
  <c r="BS16" i="16"/>
  <c r="BO14" i="16"/>
  <c r="BW14" i="16"/>
  <c r="BR15" i="16"/>
  <c r="BK16" i="16"/>
  <c r="BQ19" i="16"/>
  <c r="BT20" i="16"/>
  <c r="BV21" i="16"/>
  <c r="BJ14" i="16"/>
  <c r="BQ16" i="16"/>
  <c r="BI20" i="16"/>
  <c r="BK14" i="16"/>
  <c r="BP18" i="16"/>
  <c r="BT15" i="16"/>
  <c r="BL16" i="16"/>
  <c r="BR19" i="16"/>
  <c r="BY20" i="16"/>
  <c r="BP13" i="16"/>
  <c r="BI15" i="16"/>
  <c r="BB15" i="16"/>
  <c r="BC15" i="16" s="1"/>
  <c r="BM21" i="16"/>
  <c r="BI14" i="16"/>
  <c r="BQ14" i="16"/>
  <c r="BY14" i="16"/>
  <c r="BV15" i="16"/>
  <c r="BW15" i="16"/>
  <c r="BN16" i="16"/>
  <c r="BM18" i="16"/>
  <c r="BW19" i="16"/>
  <c r="BX20" i="16"/>
  <c r="BB21" i="16"/>
  <c r="BC21" i="16" s="1"/>
  <c r="BL19" i="16"/>
  <c r="BT19" i="16"/>
  <c r="BN20" i="16"/>
  <c r="BV20" i="16"/>
  <c r="BZ5" i="16"/>
  <c r="CA5" i="16" s="1"/>
  <c r="BZ9" i="16"/>
  <c r="CA9" i="16" s="1"/>
  <c r="BZ10" i="16"/>
  <c r="CA10" i="16" s="1"/>
  <c r="BZ27" i="16"/>
  <c r="CA27" i="16" s="1"/>
  <c r="BZ4" i="16"/>
  <c r="CA4" i="16" s="1"/>
  <c r="BZ12" i="16"/>
  <c r="CA12" i="16" s="1"/>
  <c r="BZ6" i="16"/>
  <c r="CA6" i="16" s="1"/>
  <c r="BZ7" i="16"/>
  <c r="CA7" i="16" s="1"/>
  <c r="BZ29" i="16"/>
  <c r="CA29" i="16" s="1"/>
  <c r="CF34" i="16"/>
  <c r="BF49" i="16"/>
  <c r="AH49" i="16"/>
  <c r="CD60" i="16"/>
  <c r="CD33" i="16"/>
  <c r="CF32" i="16"/>
  <c r="CD44" i="16"/>
  <c r="CD48" i="16"/>
  <c r="BZ22" i="16"/>
  <c r="CA22" i="16" s="1"/>
  <c r="D2" i="17" s="1"/>
  <c r="BZ28" i="16"/>
  <c r="CA28" i="16" s="1"/>
  <c r="CD31" i="16"/>
  <c r="BZ23" i="16"/>
  <c r="CA23" i="16" s="1"/>
  <c r="D3" i="17" s="1"/>
  <c r="BZ25" i="16"/>
  <c r="CA25" i="16" s="1"/>
  <c r="B6" i="17"/>
  <c r="B9" i="17"/>
  <c r="D7" i="17"/>
  <c r="B4" i="17"/>
  <c r="B7" i="17"/>
  <c r="D5" i="17"/>
  <c r="B10" i="17"/>
  <c r="D8" i="17"/>
  <c r="B2" i="17"/>
  <c r="B5" i="17"/>
  <c r="B8" i="17"/>
  <c r="D6" i="17"/>
  <c r="D9" i="17"/>
  <c r="B3" i="17"/>
  <c r="BZ30" i="16"/>
  <c r="CA30" i="16" s="1"/>
  <c r="D10" i="17" s="1"/>
  <c r="BZ24" i="16"/>
  <c r="CA24" i="16" s="1"/>
  <c r="D4" i="17" s="1"/>
  <c r="CC40" i="16"/>
  <c r="CH46" i="16"/>
  <c r="AF36" i="16"/>
  <c r="BE36" i="16" s="1"/>
  <c r="CD36" i="16"/>
  <c r="CE45" i="16"/>
  <c r="AG45" i="16"/>
  <c r="BF45" i="16" s="1"/>
  <c r="BE61" i="16"/>
  <c r="DB61" i="16"/>
  <c r="DX61" i="16" s="1"/>
  <c r="CE39" i="16"/>
  <c r="CF43" i="16"/>
  <c r="BL56" i="16"/>
  <c r="AN56" i="16"/>
  <c r="CC35" i="16"/>
  <c r="CE37" i="16"/>
  <c r="CD38" i="16"/>
  <c r="CD42" i="16"/>
  <c r="CC47" i="16"/>
  <c r="CC41" i="16"/>
  <c r="AF59" i="16"/>
  <c r="BE59" i="16" s="1"/>
  <c r="CE61" i="16"/>
  <c r="BE50" i="16"/>
  <c r="AG50" i="16"/>
  <c r="AF45" i="16"/>
  <c r="BE45" i="16" s="1"/>
  <c r="BI57" i="16"/>
  <c r="AK57" i="16"/>
  <c r="DA60" i="16"/>
  <c r="AF60" i="16" s="1"/>
  <c r="BE60" i="16" s="1"/>
  <c r="BK52" i="16"/>
  <c r="AM52" i="16"/>
  <c r="CE67" i="16"/>
  <c r="CD66" i="16"/>
  <c r="CF68" i="16"/>
  <c r="AH53" i="16"/>
  <c r="DW58" i="16"/>
  <c r="AF58" i="16" s="1"/>
  <c r="BE58" i="16" s="1"/>
  <c r="CC59" i="16"/>
  <c r="AG51" i="16"/>
  <c r="AI54" i="16"/>
  <c r="AL55" i="16"/>
  <c r="CC58" i="16"/>
  <c r="DB64" i="16"/>
  <c r="DX64" i="16"/>
  <c r="CD64" i="16"/>
  <c r="DX63" i="16"/>
  <c r="AF66" i="16"/>
  <c r="BE66" i="16" s="1"/>
  <c r="DW62" i="16"/>
  <c r="AF62" i="16" s="1"/>
  <c r="BE62" i="16" s="1"/>
  <c r="DB65" i="16"/>
  <c r="CD65" i="16"/>
  <c r="CD63" i="16"/>
  <c r="DX65" i="16"/>
  <c r="CC62" i="16"/>
  <c r="CD70" i="16"/>
  <c r="CF69" i="16"/>
  <c r="CC76" i="16"/>
  <c r="ES72" i="16"/>
  <c r="CC72" i="16"/>
  <c r="CD71" i="16"/>
  <c r="CC75" i="16"/>
  <c r="CD77" i="16"/>
  <c r="CI81" i="16"/>
  <c r="CD74" i="16"/>
  <c r="CD73" i="16"/>
  <c r="CE78" i="16"/>
  <c r="CD83" i="16"/>
  <c r="CC80" i="16"/>
  <c r="CC82" i="16"/>
  <c r="CC79" i="16"/>
  <c r="CC84" i="16"/>
  <c r="AT19" i="16"/>
  <c r="AR17" i="16"/>
  <c r="AO19" i="16"/>
  <c r="AY17" i="16"/>
  <c r="AO15" i="16"/>
  <c r="AX20" i="16"/>
  <c r="AT18" i="16"/>
  <c r="AQ16" i="16"/>
  <c r="AS20" i="16"/>
  <c r="AL18" i="16"/>
  <c r="AU18" i="16"/>
  <c r="AN16" i="16"/>
  <c r="AU13" i="16"/>
  <c r="AN13" i="16"/>
  <c r="AS13" i="16"/>
  <c r="AZ17" i="16"/>
  <c r="AV13" i="16"/>
  <c r="AY15" i="16"/>
  <c r="AT17" i="16"/>
  <c r="AQ17" i="16"/>
  <c r="AZ18" i="16"/>
  <c r="AV15" i="16"/>
  <c r="AX17" i="16"/>
  <c r="AM21" i="16"/>
  <c r="AK21" i="16"/>
  <c r="AX16" i="16"/>
  <c r="AP13" i="16"/>
  <c r="AV14" i="16"/>
  <c r="BA16" i="16"/>
  <c r="AL19" i="16"/>
  <c r="AV19" i="16"/>
  <c r="AQ15" i="16"/>
  <c r="AK18" i="16"/>
  <c r="AJ17" i="16"/>
  <c r="AK13" i="16"/>
  <c r="AL13" i="16"/>
  <c r="AO18" i="16"/>
  <c r="AO17" i="16"/>
  <c r="AV17" i="16"/>
  <c r="AW18" i="16"/>
  <c r="AP17" i="16"/>
  <c r="AT15" i="16"/>
  <c r="AQ19" i="16"/>
  <c r="AP20" i="16"/>
  <c r="AK17" i="16"/>
  <c r="AN19" i="16"/>
  <c r="AN14" i="16"/>
  <c r="AK16" i="16"/>
  <c r="AU21" i="16"/>
  <c r="AJ21" i="16"/>
  <c r="AL15" i="16"/>
  <c r="AV16" i="16"/>
  <c r="AJ18" i="16"/>
  <c r="AQ21" i="16"/>
  <c r="BA13" i="16"/>
  <c r="AN15" i="16"/>
  <c r="AS16" i="16"/>
  <c r="AM18" i="16"/>
  <c r="AU17" i="16"/>
  <c r="AQ20" i="16"/>
  <c r="AS17" i="16"/>
  <c r="AP16" i="16"/>
  <c r="AM13" i="16"/>
  <c r="AR21" i="16"/>
  <c r="AR18" i="16"/>
  <c r="AQ14" i="16"/>
  <c r="AN20" i="16"/>
  <c r="AS18" i="16"/>
  <c r="AM17" i="16"/>
  <c r="AZ21" i="16"/>
  <c r="AW13" i="16"/>
  <c r="AP21" i="16"/>
  <c r="BA18" i="16"/>
  <c r="AT13" i="16"/>
  <c r="BA20" i="16"/>
  <c r="AO13" i="16"/>
  <c r="AK20" i="16"/>
  <c r="AY21" i="16"/>
  <c r="AY19" i="16"/>
  <c r="AX21" i="16"/>
  <c r="AS21" i="16"/>
  <c r="BA17" i="16"/>
  <c r="AV20" i="16"/>
  <c r="BT21" i="16" l="1"/>
  <c r="BP16" i="16"/>
  <c r="BU19" i="16"/>
  <c r="BX21" i="16"/>
  <c r="BM16" i="16"/>
  <c r="BP19" i="16"/>
  <c r="BW17" i="16"/>
  <c r="BR18" i="16"/>
  <c r="BN13" i="16"/>
  <c r="BU17" i="16"/>
  <c r="BN15" i="16"/>
  <c r="BM19" i="16"/>
  <c r="BP21" i="16"/>
  <c r="BW21" i="16"/>
  <c r="BS15" i="16"/>
  <c r="BB16" i="16"/>
  <c r="BC16" i="16" s="1"/>
  <c r="BI17" i="16"/>
  <c r="BB18" i="16"/>
  <c r="BC18" i="16" s="1"/>
  <c r="BU13" i="16"/>
  <c r="BP17" i="16"/>
  <c r="BW16" i="16"/>
  <c r="BK15" i="16"/>
  <c r="BR16" i="16"/>
  <c r="BQ17" i="16"/>
  <c r="BK18" i="16"/>
  <c r="BM13" i="16"/>
  <c r="BY21" i="16"/>
  <c r="BO16" i="16"/>
  <c r="BU20" i="16"/>
  <c r="BL21" i="16"/>
  <c r="BJ16" i="16"/>
  <c r="BY17" i="16"/>
  <c r="BV18" i="16"/>
  <c r="BS18" i="16"/>
  <c r="BT13" i="16"/>
  <c r="BB13" i="16"/>
  <c r="BC13" i="16" s="1"/>
  <c r="BR21" i="16"/>
  <c r="BQ21" i="16"/>
  <c r="BU15" i="16"/>
  <c r="BM20" i="16"/>
  <c r="BB20" i="16"/>
  <c r="BC20" i="16" s="1"/>
  <c r="BX15" i="16"/>
  <c r="BX17" i="16"/>
  <c r="BJ17" i="16"/>
  <c r="BI18" i="16"/>
  <c r="BL18" i="16"/>
  <c r="BL13" i="16"/>
  <c r="BU14" i="16"/>
  <c r="BR13" i="16"/>
  <c r="BO21" i="16"/>
  <c r="BN18" i="16"/>
  <c r="BS17" i="16"/>
  <c r="BJ21" i="16"/>
  <c r="BI21" i="16"/>
  <c r="BM15" i="16"/>
  <c r="BS19" i="16"/>
  <c r="BR20" i="16"/>
  <c r="BP15" i="16"/>
  <c r="BL17" i="16"/>
  <c r="BR17" i="16"/>
  <c r="BQ18" i="16"/>
  <c r="BT18" i="16"/>
  <c r="BM14" i="16"/>
  <c r="BJ13" i="16"/>
  <c r="BP20" i="16"/>
  <c r="BW20" i="16"/>
  <c r="BK19" i="16"/>
  <c r="BJ20" i="16"/>
  <c r="BT17" i="16"/>
  <c r="BB17" i="16"/>
  <c r="BC17" i="16" s="1"/>
  <c r="BY18" i="16"/>
  <c r="BP14" i="16"/>
  <c r="BS13" i="16"/>
  <c r="BN17" i="16"/>
  <c r="BN19" i="16"/>
  <c r="BO20" i="16"/>
  <c r="BU16" i="16"/>
  <c r="BX19" i="16"/>
  <c r="BO17" i="16"/>
  <c r="BO13" i="16"/>
  <c r="BJ18" i="16"/>
  <c r="BV13" i="16"/>
  <c r="BK13" i="16"/>
  <c r="CE64" i="16"/>
  <c r="CE74" i="16"/>
  <c r="CG69" i="16"/>
  <c r="DB62" i="16"/>
  <c r="DX62" i="16" s="1"/>
  <c r="CD62" i="16"/>
  <c r="CF67" i="16"/>
  <c r="AL57" i="16"/>
  <c r="BJ57" i="16"/>
  <c r="CF37" i="16"/>
  <c r="CE33" i="16"/>
  <c r="CG34" i="16"/>
  <c r="CG43" i="16"/>
  <c r="CD80" i="16"/>
  <c r="CF78" i="16"/>
  <c r="CJ81" i="16"/>
  <c r="CD76" i="16"/>
  <c r="CG68" i="16"/>
  <c r="CD41" i="16"/>
  <c r="CD35" i="16"/>
  <c r="CD40" i="16"/>
  <c r="CG32" i="16"/>
  <c r="CF61" i="16"/>
  <c r="CD84" i="16"/>
  <c r="DC63" i="16"/>
  <c r="AH63" i="16" s="1"/>
  <c r="BG63" i="16" s="1"/>
  <c r="CE63" i="16"/>
  <c r="DY63" i="16"/>
  <c r="BF51" i="16"/>
  <c r="AH51" i="16"/>
  <c r="CD47" i="16"/>
  <c r="AG61" i="16"/>
  <c r="CE83" i="16"/>
  <c r="CE73" i="16"/>
  <c r="CE77" i="16"/>
  <c r="CE71" i="16"/>
  <c r="CE65" i="16"/>
  <c r="AG64" i="16"/>
  <c r="BF64" i="16" s="1"/>
  <c r="CE66" i="16"/>
  <c r="CF39" i="16"/>
  <c r="CE48" i="16"/>
  <c r="DB60" i="16"/>
  <c r="CD79" i="16"/>
  <c r="CE70" i="16"/>
  <c r="AG65" i="16"/>
  <c r="BF65" i="16" s="1"/>
  <c r="DX58" i="16"/>
  <c r="CD58" i="16"/>
  <c r="DB58" i="16"/>
  <c r="DB59" i="16"/>
  <c r="DX59" i="16" s="1"/>
  <c r="CD59" i="16"/>
  <c r="DB66" i="16"/>
  <c r="AN52" i="16"/>
  <c r="BL52" i="16"/>
  <c r="CE42" i="16"/>
  <c r="CE31" i="16"/>
  <c r="CE60" i="16"/>
  <c r="CD82" i="16"/>
  <c r="CD72" i="16"/>
  <c r="ET72" i="16"/>
  <c r="AM55" i="16"/>
  <c r="BK55" i="16"/>
  <c r="CE38" i="16"/>
  <c r="BM56" i="16"/>
  <c r="AO56" i="16"/>
  <c r="AH45" i="16"/>
  <c r="BG45" i="16" s="1"/>
  <c r="CF45" i="16"/>
  <c r="CI46" i="16"/>
  <c r="CE44" i="16"/>
  <c r="BH54" i="16"/>
  <c r="AJ54" i="16"/>
  <c r="CD75" i="16"/>
  <c r="BG53" i="16"/>
  <c r="AI53" i="16"/>
  <c r="BF50" i="16"/>
  <c r="AH50" i="16"/>
  <c r="CE36" i="16"/>
  <c r="AG36" i="16"/>
  <c r="BF36" i="16" s="1"/>
  <c r="BG49" i="16"/>
  <c r="AI49" i="16"/>
  <c r="BH49" i="16" l="1"/>
  <c r="AJ49" i="16"/>
  <c r="BH53" i="16"/>
  <c r="AJ53" i="16"/>
  <c r="CF42" i="16"/>
  <c r="AG59" i="16"/>
  <c r="BF59" i="16" s="1"/>
  <c r="CE79" i="16"/>
  <c r="CE76" i="16"/>
  <c r="CG78" i="16"/>
  <c r="CF33" i="16"/>
  <c r="AM57" i="16"/>
  <c r="BK57" i="16"/>
  <c r="CF74" i="16"/>
  <c r="BZ13" i="16"/>
  <c r="CA13" i="16" s="1"/>
  <c r="C2" i="17" s="1"/>
  <c r="CF38" i="16"/>
  <c r="AG58" i="16"/>
  <c r="BF58" i="16" s="1"/>
  <c r="CF73" i="16"/>
  <c r="CE47" i="16"/>
  <c r="CE40" i="16"/>
  <c r="CG67" i="16"/>
  <c r="BZ14" i="16"/>
  <c r="CA14" i="16" s="1"/>
  <c r="C3" i="17" s="1"/>
  <c r="BZ16" i="16"/>
  <c r="CA16" i="16" s="1"/>
  <c r="C5" i="17" s="1"/>
  <c r="CJ46" i="16"/>
  <c r="CF60" i="16"/>
  <c r="CE58" i="16"/>
  <c r="DX60" i="16"/>
  <c r="AG60" i="16" s="1"/>
  <c r="CG39" i="16"/>
  <c r="CF65" i="16"/>
  <c r="AI51" i="16"/>
  <c r="BG51" i="16"/>
  <c r="CE80" i="16"/>
  <c r="BZ21" i="16"/>
  <c r="CA21" i="16" s="1"/>
  <c r="C10" i="17" s="1"/>
  <c r="BZ15" i="16"/>
  <c r="CA15" i="16" s="1"/>
  <c r="C4" i="17" s="1"/>
  <c r="AH36" i="16"/>
  <c r="BG36" i="16" s="1"/>
  <c r="CF36" i="16"/>
  <c r="CE75" i="16"/>
  <c r="BL55" i="16"/>
  <c r="AN55" i="16"/>
  <c r="CF48" i="16"/>
  <c r="DC65" i="16"/>
  <c r="CG61" i="16"/>
  <c r="CE35" i="16"/>
  <c r="CK81" i="16"/>
  <c r="CF64" i="16"/>
  <c r="BZ18" i="16"/>
  <c r="CA18" i="16" s="1"/>
  <c r="C7" i="17" s="1"/>
  <c r="BI54" i="16"/>
  <c r="AK54" i="16"/>
  <c r="AI45" i="16"/>
  <c r="BH45" i="16" s="1"/>
  <c r="CG45" i="16"/>
  <c r="BM52" i="16"/>
  <c r="AO52" i="16"/>
  <c r="CF71" i="16"/>
  <c r="CF83" i="16"/>
  <c r="CE41" i="16"/>
  <c r="CE62" i="16"/>
  <c r="DC64" i="16"/>
  <c r="BZ20" i="16"/>
  <c r="CA20" i="16" s="1"/>
  <c r="C9" i="17" s="1"/>
  <c r="CE72" i="16"/>
  <c r="EU72" i="16"/>
  <c r="AG66" i="16"/>
  <c r="DX66" i="16"/>
  <c r="CF70" i="16"/>
  <c r="CF66" i="16"/>
  <c r="DD63" i="16"/>
  <c r="AI63" i="16" s="1"/>
  <c r="BH63" i="16" s="1"/>
  <c r="CF63" i="16"/>
  <c r="DZ63" i="16"/>
  <c r="CH43" i="16"/>
  <c r="CG37" i="16"/>
  <c r="AG62" i="16"/>
  <c r="BF62" i="16" s="1"/>
  <c r="BZ19" i="16"/>
  <c r="CA19" i="16" s="1"/>
  <c r="C8" i="17" s="1"/>
  <c r="BG50" i="16"/>
  <c r="AI50" i="16"/>
  <c r="CF44" i="16"/>
  <c r="BN56" i="16"/>
  <c r="AP56" i="16"/>
  <c r="CF31" i="16"/>
  <c r="CH68" i="16"/>
  <c r="CH69" i="16"/>
  <c r="CE82" i="16"/>
  <c r="DC59" i="16"/>
  <c r="DY59" i="16" s="1"/>
  <c r="CE59" i="16"/>
  <c r="CF77" i="16"/>
  <c r="BF61" i="16"/>
  <c r="DC61" i="16"/>
  <c r="CE84" i="16"/>
  <c r="CH32" i="16"/>
  <c r="CH34" i="16"/>
  <c r="BZ17" i="16"/>
  <c r="CA17" i="16" s="1"/>
  <c r="C6" i="17" s="1"/>
  <c r="DC62" i="16" l="1"/>
  <c r="DY62" i="16" s="1"/>
  <c r="DC58" i="16"/>
  <c r="DY58" i="16" s="1"/>
  <c r="CI69" i="16"/>
  <c r="CH37" i="16"/>
  <c r="CG66" i="16"/>
  <c r="CG64" i="16"/>
  <c r="AO55" i="16"/>
  <c r="BM55" i="16"/>
  <c r="CF79" i="16"/>
  <c r="BN52" i="16"/>
  <c r="AP52" i="16"/>
  <c r="CF84" i="16"/>
  <c r="CG83" i="16"/>
  <c r="CG60" i="16"/>
  <c r="CG73" i="16"/>
  <c r="CG74" i="16"/>
  <c r="CH78" i="16"/>
  <c r="CF59" i="16"/>
  <c r="CI43" i="16"/>
  <c r="AH64" i="16"/>
  <c r="DY64" i="16"/>
  <c r="AJ45" i="16"/>
  <c r="BI45" i="16" s="1"/>
  <c r="CH45" i="16"/>
  <c r="CH61" i="16"/>
  <c r="CF80" i="16"/>
  <c r="CH39" i="16"/>
  <c r="CH67" i="16"/>
  <c r="CF47" i="16"/>
  <c r="AH59" i="16"/>
  <c r="BG59" i="16" s="1"/>
  <c r="CI68" i="16"/>
  <c r="BH50" i="16"/>
  <c r="AJ50" i="16"/>
  <c r="CG70" i="16"/>
  <c r="CG71" i="16"/>
  <c r="CF75" i="16"/>
  <c r="BL57" i="16"/>
  <c r="AN57" i="16"/>
  <c r="CG42" i="16"/>
  <c r="BO56" i="16"/>
  <c r="AQ56" i="16"/>
  <c r="CF72" i="16"/>
  <c r="EV72" i="16"/>
  <c r="DY61" i="16"/>
  <c r="AH61" i="16" s="1"/>
  <c r="CF62" i="16"/>
  <c r="BJ54" i="16"/>
  <c r="AL54" i="16"/>
  <c r="CL81" i="16"/>
  <c r="CG38" i="16"/>
  <c r="CF76" i="16"/>
  <c r="CG44" i="16"/>
  <c r="CF82" i="16"/>
  <c r="CG31" i="16"/>
  <c r="EA63" i="16"/>
  <c r="DE63" i="16"/>
  <c r="AJ63" i="16" s="1"/>
  <c r="BI63" i="16" s="1"/>
  <c r="CG63" i="16"/>
  <c r="BF66" i="16"/>
  <c r="DC66" i="16"/>
  <c r="DY65" i="16"/>
  <c r="AH65" i="16" s="1"/>
  <c r="CG36" i="16"/>
  <c r="AI36" i="16"/>
  <c r="BH36" i="16" s="1"/>
  <c r="BH51" i="16"/>
  <c r="AJ51" i="16"/>
  <c r="BF60" i="16"/>
  <c r="DC60" i="16"/>
  <c r="CF40" i="16"/>
  <c r="AK53" i="16"/>
  <c r="BI53" i="16"/>
  <c r="CG77" i="16"/>
  <c r="CF35" i="16"/>
  <c r="CG65" i="16"/>
  <c r="CI34" i="16"/>
  <c r="CF41" i="16"/>
  <c r="CG48" i="16"/>
  <c r="CF58" i="16"/>
  <c r="CK46" i="16"/>
  <c r="CG33" i="16"/>
  <c r="CI32" i="16"/>
  <c r="BI49" i="16"/>
  <c r="AK49" i="16"/>
  <c r="AH58" i="16" l="1"/>
  <c r="BG58" i="16" s="1"/>
  <c r="AH62" i="16"/>
  <c r="BG62" i="16" s="1"/>
  <c r="BG61" i="16"/>
  <c r="DD61" i="16"/>
  <c r="BG65" i="16"/>
  <c r="DD65" i="16"/>
  <c r="CL46" i="16"/>
  <c r="BI50" i="16"/>
  <c r="AK50" i="16"/>
  <c r="BG64" i="16"/>
  <c r="DD64" i="16"/>
  <c r="CH60" i="16"/>
  <c r="CJ32" i="16"/>
  <c r="DD58" i="16"/>
  <c r="CG40" i="16"/>
  <c r="CH31" i="16"/>
  <c r="CG76" i="16"/>
  <c r="CG72" i="16"/>
  <c r="EW72" i="16"/>
  <c r="CG75" i="16"/>
  <c r="CJ68" i="16"/>
  <c r="CH74" i="16"/>
  <c r="BO52" i="16"/>
  <c r="AQ52" i="16"/>
  <c r="AP55" i="16"/>
  <c r="BN55" i="16"/>
  <c r="CG84" i="16"/>
  <c r="CG58" i="16"/>
  <c r="CG41" i="16"/>
  <c r="CG35" i="16"/>
  <c r="DY60" i="16"/>
  <c r="AH60" i="16" s="1"/>
  <c r="DD62" i="16"/>
  <c r="BP56" i="16"/>
  <c r="AR56" i="16"/>
  <c r="CH71" i="16"/>
  <c r="CI67" i="16"/>
  <c r="CI61" i="16"/>
  <c r="DD59" i="16"/>
  <c r="CJ69" i="16"/>
  <c r="CG59" i="16"/>
  <c r="CH83" i="16"/>
  <c r="CH48" i="16"/>
  <c r="CH77" i="16"/>
  <c r="AK51" i="16"/>
  <c r="BI51" i="16"/>
  <c r="CH38" i="16"/>
  <c r="CH42" i="16"/>
  <c r="CI45" i="16"/>
  <c r="CG79" i="16"/>
  <c r="CJ34" i="16"/>
  <c r="CG82" i="16"/>
  <c r="CG62" i="16"/>
  <c r="BJ49" i="16"/>
  <c r="AL49" i="16"/>
  <c r="CH33" i="16"/>
  <c r="EB63" i="16"/>
  <c r="DF63" i="16"/>
  <c r="AK63" i="16" s="1"/>
  <c r="BJ63" i="16" s="1"/>
  <c r="CH63" i="16"/>
  <c r="CG47" i="16"/>
  <c r="CI39" i="16"/>
  <c r="DY66" i="16"/>
  <c r="AH66" i="16" s="1"/>
  <c r="CH73" i="16"/>
  <c r="CH64" i="16"/>
  <c r="CH65" i="16"/>
  <c r="CM81" i="16"/>
  <c r="BM57" i="16"/>
  <c r="AO57" i="16"/>
  <c r="CH70" i="16"/>
  <c r="CH66" i="16"/>
  <c r="CH44" i="16"/>
  <c r="CI78" i="16"/>
  <c r="BJ53" i="16"/>
  <c r="AL53" i="16"/>
  <c r="CG80" i="16"/>
  <c r="CH36" i="16"/>
  <c r="AJ36" i="16"/>
  <c r="BI36" i="16" s="1"/>
  <c r="AM54" i="16"/>
  <c r="BK54" i="16"/>
  <c r="CJ43" i="16"/>
  <c r="CI37" i="16"/>
  <c r="BG66" i="16" l="1"/>
  <c r="DD66" i="16"/>
  <c r="DG63" i="16"/>
  <c r="AL63" i="16" s="1"/>
  <c r="BK63" i="16" s="1"/>
  <c r="EC63" i="16"/>
  <c r="CI63" i="16"/>
  <c r="CJ39" i="16"/>
  <c r="CJ67" i="16"/>
  <c r="CI74" i="16"/>
  <c r="AN54" i="16"/>
  <c r="BL54" i="16"/>
  <c r="CI73" i="16"/>
  <c r="CH82" i="16"/>
  <c r="CI38" i="16"/>
  <c r="CI48" i="16"/>
  <c r="CK69" i="16"/>
  <c r="CI71" i="16"/>
  <c r="CH35" i="16"/>
  <c r="CH76" i="16"/>
  <c r="CK32" i="16"/>
  <c r="BN57" i="16"/>
  <c r="AP57" i="16"/>
  <c r="CH84" i="16"/>
  <c r="CJ78" i="16"/>
  <c r="CI70" i="16"/>
  <c r="CH47" i="16"/>
  <c r="CI33" i="16"/>
  <c r="CJ45" i="16"/>
  <c r="CM46" i="16"/>
  <c r="CI36" i="16"/>
  <c r="DZ59" i="16"/>
  <c r="AI59" i="16" s="1"/>
  <c r="CH41" i="16"/>
  <c r="CK68" i="16"/>
  <c r="CI31" i="16"/>
  <c r="CI60" i="16"/>
  <c r="DZ65" i="16"/>
  <c r="AI65" i="16" s="1"/>
  <c r="CJ37" i="16"/>
  <c r="CI42" i="16"/>
  <c r="AL51" i="16"/>
  <c r="BJ51" i="16"/>
  <c r="CH58" i="16"/>
  <c r="BO55" i="16"/>
  <c r="AQ55" i="16"/>
  <c r="CI65" i="16"/>
  <c r="CH59" i="16"/>
  <c r="DZ62" i="16"/>
  <c r="AI62" i="16" s="1"/>
  <c r="CH75" i="16"/>
  <c r="DZ64" i="16"/>
  <c r="AI64" i="16" s="1"/>
  <c r="BK49" i="16"/>
  <c r="AM49" i="16"/>
  <c r="BQ56" i="16"/>
  <c r="AS56" i="16"/>
  <c r="CI44" i="16"/>
  <c r="CK34" i="16"/>
  <c r="CJ61" i="16"/>
  <c r="BP52" i="16"/>
  <c r="AR52" i="16"/>
  <c r="CH40" i="16"/>
  <c r="CN81" i="16"/>
  <c r="CI64" i="16"/>
  <c r="CH62" i="16"/>
  <c r="CI77" i="16"/>
  <c r="DZ61" i="16"/>
  <c r="AI61" i="16" s="1"/>
  <c r="CI83" i="16"/>
  <c r="CH80" i="16"/>
  <c r="CK43" i="16"/>
  <c r="AM53" i="16"/>
  <c r="BK53" i="16"/>
  <c r="CI66" i="16"/>
  <c r="CH79" i="16"/>
  <c r="BG60" i="16"/>
  <c r="DD60" i="16"/>
  <c r="EX72" i="16"/>
  <c r="CH72" i="16"/>
  <c r="DZ58" i="16"/>
  <c r="AI58" i="16" s="1"/>
  <c r="BJ50" i="16"/>
  <c r="AL50" i="16"/>
  <c r="BH61" i="16" l="1"/>
  <c r="DE61" i="16"/>
  <c r="BH64" i="16"/>
  <c r="DE64" i="16"/>
  <c r="BH62" i="16"/>
  <c r="DE62" i="16"/>
  <c r="BH65" i="16"/>
  <c r="DE65" i="16"/>
  <c r="BH58" i="16"/>
  <c r="DE58" i="16"/>
  <c r="BH59" i="16"/>
  <c r="DE59" i="16"/>
  <c r="CI80" i="16"/>
  <c r="AT56" i="16"/>
  <c r="BR56" i="16"/>
  <c r="CI58" i="16"/>
  <c r="CK37" i="16"/>
  <c r="CN46" i="16"/>
  <c r="CI40" i="16"/>
  <c r="CJ65" i="16"/>
  <c r="CL68" i="16"/>
  <c r="CJ70" i="16"/>
  <c r="CI79" i="16"/>
  <c r="CI75" i="16"/>
  <c r="CI35" i="16"/>
  <c r="CJ38" i="16"/>
  <c r="BM54" i="16"/>
  <c r="AO54" i="16"/>
  <c r="DH63" i="16"/>
  <c r="ED63" i="16" s="1"/>
  <c r="CJ63" i="16"/>
  <c r="BK50" i="16"/>
  <c r="AM50" i="16"/>
  <c r="AN53" i="16"/>
  <c r="BL53" i="16"/>
  <c r="CI62" i="16"/>
  <c r="BO57" i="16"/>
  <c r="AQ57" i="16"/>
  <c r="CJ73" i="16"/>
  <c r="CL43" i="16"/>
  <c r="CL34" i="16"/>
  <c r="CJ48" i="16"/>
  <c r="CK39" i="16"/>
  <c r="BQ52" i="16"/>
  <c r="AS52" i="16"/>
  <c r="CJ44" i="16"/>
  <c r="BK51" i="16"/>
  <c r="AM51" i="16"/>
  <c r="CJ60" i="16"/>
  <c r="CI41" i="16"/>
  <c r="CK45" i="16"/>
  <c r="CK78" i="16"/>
  <c r="CL32" i="16"/>
  <c r="CJ74" i="16"/>
  <c r="CJ64" i="16"/>
  <c r="BP55" i="16"/>
  <c r="AR55" i="16"/>
  <c r="CJ71" i="16"/>
  <c r="CI82" i="16"/>
  <c r="CK61" i="16"/>
  <c r="BL49" i="16"/>
  <c r="AN49" i="16"/>
  <c r="CI59" i="16"/>
  <c r="CI47" i="16"/>
  <c r="CI84" i="16"/>
  <c r="CI76" i="16"/>
  <c r="CK67" i="16"/>
  <c r="CI72" i="16"/>
  <c r="CJ66" i="16"/>
  <c r="CJ77" i="16"/>
  <c r="CJ42" i="16"/>
  <c r="CJ33" i="16"/>
  <c r="DZ60" i="16"/>
  <c r="AI60" i="16" s="1"/>
  <c r="CJ83" i="16"/>
  <c r="CO81" i="16"/>
  <c r="CJ31" i="16"/>
  <c r="CJ36" i="16"/>
  <c r="CL69" i="16"/>
  <c r="DZ66" i="16"/>
  <c r="AI66" i="16" s="1"/>
  <c r="BH60" i="16" l="1"/>
  <c r="DE60" i="16"/>
  <c r="BH66" i="16"/>
  <c r="DE66" i="16"/>
  <c r="CK71" i="16"/>
  <c r="CJ47" i="16"/>
  <c r="CK31" i="16"/>
  <c r="CK77" i="16"/>
  <c r="CL67" i="16"/>
  <c r="CL39" i="16"/>
  <c r="CK73" i="16"/>
  <c r="BM53" i="16"/>
  <c r="AO53" i="16"/>
  <c r="CJ79" i="16"/>
  <c r="CL37" i="16"/>
  <c r="CJ80" i="16"/>
  <c r="CJ84" i="16"/>
  <c r="CJ59" i="16"/>
  <c r="CK64" i="16"/>
  <c r="CL78" i="16"/>
  <c r="BL51" i="16"/>
  <c r="AN51" i="16"/>
  <c r="BL50" i="16"/>
  <c r="AN50" i="16"/>
  <c r="CK38" i="16"/>
  <c r="EA62" i="16"/>
  <c r="AJ62" i="16" s="1"/>
  <c r="CK83" i="16"/>
  <c r="CJ76" i="16"/>
  <c r="CJ82" i="16"/>
  <c r="CK48" i="16"/>
  <c r="BP57" i="16"/>
  <c r="AR57" i="16"/>
  <c r="CK70" i="16"/>
  <c r="CJ40" i="16"/>
  <c r="CJ58" i="16"/>
  <c r="EA59" i="16"/>
  <c r="AJ59" i="16" s="1"/>
  <c r="CM43" i="16"/>
  <c r="CP81" i="16"/>
  <c r="CK66" i="16"/>
  <c r="CK74" i="16"/>
  <c r="CL45" i="16"/>
  <c r="CJ35" i="16"/>
  <c r="EA64" i="16"/>
  <c r="AJ64" i="16" s="1"/>
  <c r="CJ72" i="16"/>
  <c r="CM69" i="16"/>
  <c r="CK33" i="16"/>
  <c r="AO49" i="16"/>
  <c r="BM49" i="16"/>
  <c r="CK44" i="16"/>
  <c r="CK63" i="16"/>
  <c r="CM68" i="16"/>
  <c r="EA58" i="16"/>
  <c r="AJ58" i="16" s="1"/>
  <c r="CJ75" i="16"/>
  <c r="CO46" i="16"/>
  <c r="EA61" i="16"/>
  <c r="AJ61" i="16" s="1"/>
  <c r="CJ41" i="16"/>
  <c r="BR52" i="16"/>
  <c r="AT52" i="16"/>
  <c r="CM34" i="16"/>
  <c r="CJ62" i="16"/>
  <c r="AM63" i="16"/>
  <c r="BL63" i="16" s="1"/>
  <c r="CK36" i="16"/>
  <c r="CK42" i="16"/>
  <c r="CL61" i="16"/>
  <c r="BQ55" i="16"/>
  <c r="AS55" i="16"/>
  <c r="CM32" i="16"/>
  <c r="CK60" i="16"/>
  <c r="BN54" i="16"/>
  <c r="AP54" i="16"/>
  <c r="CK65" i="16"/>
  <c r="AU56" i="16"/>
  <c r="BS56" i="16"/>
  <c r="EA65" i="16"/>
  <c r="AJ65" i="16" s="1"/>
  <c r="BI58" i="16" l="1"/>
  <c r="DF58" i="16"/>
  <c r="BI65" i="16"/>
  <c r="DF65" i="16"/>
  <c r="BI64" i="16"/>
  <c r="DF64" i="16"/>
  <c r="BT56" i="16"/>
  <c r="AV56" i="16"/>
  <c r="CK62" i="16"/>
  <c r="CN68" i="16"/>
  <c r="AP49" i="16"/>
  <c r="BN49" i="16"/>
  <c r="CL74" i="16"/>
  <c r="CN43" i="16"/>
  <c r="CL70" i="16"/>
  <c r="BI62" i="16"/>
  <c r="DF62" i="16"/>
  <c r="CK79" i="16"/>
  <c r="BI61" i="16"/>
  <c r="DF61" i="16"/>
  <c r="CL33" i="16"/>
  <c r="CL66" i="16"/>
  <c r="CL38" i="16"/>
  <c r="CK84" i="16"/>
  <c r="CM67" i="16"/>
  <c r="CK47" i="16"/>
  <c r="BI59" i="16"/>
  <c r="DF59" i="16"/>
  <c r="BQ57" i="16"/>
  <c r="AS57" i="16"/>
  <c r="CK76" i="16"/>
  <c r="CL64" i="16"/>
  <c r="CL65" i="16"/>
  <c r="CL42" i="16"/>
  <c r="CP46" i="16"/>
  <c r="CL63" i="16"/>
  <c r="BM50" i="16"/>
  <c r="AO50" i="16"/>
  <c r="CK80" i="16"/>
  <c r="BN53" i="16"/>
  <c r="AP53" i="16"/>
  <c r="CL71" i="16"/>
  <c r="CN32" i="16"/>
  <c r="CL36" i="16"/>
  <c r="BS52" i="16"/>
  <c r="AU52" i="16"/>
  <c r="CK75" i="16"/>
  <c r="DI63" i="16"/>
  <c r="CN69" i="16"/>
  <c r="CK35" i="16"/>
  <c r="CK58" i="16"/>
  <c r="CL48" i="16"/>
  <c r="CL77" i="16"/>
  <c r="EA66" i="16"/>
  <c r="AJ66" i="16" s="1"/>
  <c r="CN34" i="16"/>
  <c r="BO54" i="16"/>
  <c r="AQ54" i="16"/>
  <c r="BR55" i="16"/>
  <c r="AT55" i="16"/>
  <c r="CL44" i="16"/>
  <c r="CK72" i="16"/>
  <c r="CL83" i="16"/>
  <c r="BM51" i="16"/>
  <c r="AO51" i="16"/>
  <c r="CK41" i="16"/>
  <c r="CM45" i="16"/>
  <c r="CQ81" i="16"/>
  <c r="CK40" i="16"/>
  <c r="CK82" i="16"/>
  <c r="CK59" i="16"/>
  <c r="CL73" i="16"/>
  <c r="EA60" i="16"/>
  <c r="AJ60" i="16" s="1"/>
  <c r="CL60" i="16"/>
  <c r="CM61" i="16"/>
  <c r="CM78" i="16"/>
  <c r="CM37" i="16"/>
  <c r="CM39" i="16"/>
  <c r="CL31" i="16"/>
  <c r="BI60" i="16" l="1"/>
  <c r="DF60" i="16"/>
  <c r="BI66" i="16"/>
  <c r="DF66" i="16"/>
  <c r="EB58" i="16"/>
  <c r="AK58" i="16" s="1"/>
  <c r="CM44" i="16"/>
  <c r="CL58" i="16"/>
  <c r="CM71" i="16"/>
  <c r="CM65" i="16"/>
  <c r="BR57" i="16"/>
  <c r="AT57" i="16"/>
  <c r="CM74" i="16"/>
  <c r="BU56" i="16"/>
  <c r="AW56" i="16"/>
  <c r="BN50" i="16"/>
  <c r="AP50" i="16"/>
  <c r="CL62" i="16"/>
  <c r="CN39" i="16"/>
  <c r="CL40" i="16"/>
  <c r="BN51" i="16"/>
  <c r="AP51" i="16"/>
  <c r="BT52" i="16"/>
  <c r="AV52" i="16"/>
  <c r="BO53" i="16"/>
  <c r="AQ53" i="16"/>
  <c r="CM63" i="16"/>
  <c r="CL84" i="16"/>
  <c r="EB62" i="16"/>
  <c r="AK62" i="16" s="1"/>
  <c r="EE63" i="16"/>
  <c r="AN63" i="16" s="1"/>
  <c r="CM73" i="16"/>
  <c r="CR81" i="16"/>
  <c r="AU55" i="16"/>
  <c r="BS55" i="16"/>
  <c r="CM77" i="16"/>
  <c r="CL35" i="16"/>
  <c r="CM64" i="16"/>
  <c r="EB59" i="16"/>
  <c r="AK59" i="16" s="1"/>
  <c r="CM33" i="16"/>
  <c r="BO49" i="16"/>
  <c r="AQ49" i="16"/>
  <c r="AK64" i="16"/>
  <c r="EB64" i="16"/>
  <c r="CN45" i="16"/>
  <c r="CO32" i="16"/>
  <c r="CO43" i="16"/>
  <c r="CM60" i="16"/>
  <c r="CL59" i="16"/>
  <c r="CM83" i="16"/>
  <c r="CM36" i="16"/>
  <c r="CL80" i="16"/>
  <c r="CM38" i="16"/>
  <c r="CM70" i="16"/>
  <c r="DM68" i="16"/>
  <c r="AR68" i="16" s="1"/>
  <c r="BQ68" i="16" s="1"/>
  <c r="CO68" i="16"/>
  <c r="EI68" i="16"/>
  <c r="CM42" i="16"/>
  <c r="CN67" i="16"/>
  <c r="CM31" i="16"/>
  <c r="CL41" i="16"/>
  <c r="CL75" i="16"/>
  <c r="CN37" i="16"/>
  <c r="BP54" i="16"/>
  <c r="AR54" i="16"/>
  <c r="CQ46" i="16"/>
  <c r="CL47" i="16"/>
  <c r="EB61" i="16"/>
  <c r="AK61" i="16" s="1"/>
  <c r="EB65" i="16"/>
  <c r="AK65" i="16" s="1"/>
  <c r="CN78" i="16"/>
  <c r="CL72" i="16"/>
  <c r="CO34" i="16"/>
  <c r="CL79" i="16"/>
  <c r="CN61" i="16"/>
  <c r="CL82" i="16"/>
  <c r="CM48" i="16"/>
  <c r="EI69" i="16"/>
  <c r="DM69" i="16"/>
  <c r="AR69" i="16" s="1"/>
  <c r="BQ69" i="16" s="1"/>
  <c r="CO69" i="16"/>
  <c r="CL76" i="16"/>
  <c r="CM66" i="16"/>
  <c r="BJ59" i="16" l="1"/>
  <c r="DG59" i="16"/>
  <c r="BJ65" i="16"/>
  <c r="DG65" i="16"/>
  <c r="BJ62" i="16"/>
  <c r="DG62" i="16"/>
  <c r="AS54" i="16"/>
  <c r="BQ54" i="16"/>
  <c r="CN31" i="16"/>
  <c r="CP32" i="16"/>
  <c r="BO51" i="16"/>
  <c r="AQ51" i="16"/>
  <c r="CM82" i="16"/>
  <c r="CP34" i="16"/>
  <c r="CO45" i="16"/>
  <c r="BO50" i="16"/>
  <c r="AQ50" i="16"/>
  <c r="CN73" i="16"/>
  <c r="CP69" i="16"/>
  <c r="CO37" i="16"/>
  <c r="DM67" i="16"/>
  <c r="CO67" i="16"/>
  <c r="EI67" i="16"/>
  <c r="CN70" i="16"/>
  <c r="CN36" i="16"/>
  <c r="CN60" i="16"/>
  <c r="CN77" i="16"/>
  <c r="CN63" i="16"/>
  <c r="CN65" i="16"/>
  <c r="CN44" i="16"/>
  <c r="CM76" i="16"/>
  <c r="BJ61" i="16"/>
  <c r="DG61" i="16"/>
  <c r="BM63" i="16"/>
  <c r="DJ63" i="16"/>
  <c r="CM40" i="16"/>
  <c r="BV56" i="16"/>
  <c r="AX56" i="16"/>
  <c r="CM72" i="16"/>
  <c r="CN42" i="16"/>
  <c r="BT55" i="16"/>
  <c r="AV55" i="16"/>
  <c r="BJ58" i="16"/>
  <c r="DG58" i="16"/>
  <c r="CN66" i="16"/>
  <c r="CO78" i="16"/>
  <c r="CM47" i="16"/>
  <c r="CM75" i="16"/>
  <c r="CN38" i="16"/>
  <c r="CP43" i="16"/>
  <c r="BP49" i="16"/>
  <c r="AR49" i="16"/>
  <c r="CS81" i="16"/>
  <c r="CO39" i="16"/>
  <c r="CN74" i="16"/>
  <c r="AK66" i="16"/>
  <c r="EB66" i="16"/>
  <c r="CO61" i="16"/>
  <c r="BJ64" i="16"/>
  <c r="DG64" i="16"/>
  <c r="CN64" i="16"/>
  <c r="CM84" i="16"/>
  <c r="BU52" i="16"/>
  <c r="AW52" i="16"/>
  <c r="CM58" i="16"/>
  <c r="CN83" i="16"/>
  <c r="BP53" i="16"/>
  <c r="AR53" i="16"/>
  <c r="CN71" i="16"/>
  <c r="CN48" i="16"/>
  <c r="CM79" i="16"/>
  <c r="CR46" i="16"/>
  <c r="CM41" i="16"/>
  <c r="CP68" i="16"/>
  <c r="CM80" i="16"/>
  <c r="CM59" i="16"/>
  <c r="CN33" i="16"/>
  <c r="CM35" i="16"/>
  <c r="CM62" i="16"/>
  <c r="BS57" i="16"/>
  <c r="AU57" i="16"/>
  <c r="EB60" i="16"/>
  <c r="AK60" i="16" s="1"/>
  <c r="AR67" i="16" l="1"/>
  <c r="BQ67" i="16" s="1"/>
  <c r="BJ60" i="16"/>
  <c r="DG60" i="16"/>
  <c r="AS53" i="16"/>
  <c r="BQ53" i="16"/>
  <c r="CQ43" i="16"/>
  <c r="CN76" i="16"/>
  <c r="CO33" i="16"/>
  <c r="CP39" i="16"/>
  <c r="CN40" i="16"/>
  <c r="BP50" i="16"/>
  <c r="AR50" i="16"/>
  <c r="CN82" i="16"/>
  <c r="CN47" i="16"/>
  <c r="EC59" i="16"/>
  <c r="AL59" i="16" s="1"/>
  <c r="CS46" i="16"/>
  <c r="CP37" i="16"/>
  <c r="BT57" i="16"/>
  <c r="AV57" i="16"/>
  <c r="CN79" i="16"/>
  <c r="CN84" i="16"/>
  <c r="CP78" i="16"/>
  <c r="CO42" i="16"/>
  <c r="EF63" i="16"/>
  <c r="AO63" i="16" s="1"/>
  <c r="CO44" i="16"/>
  <c r="CQ69" i="16"/>
  <c r="BR54" i="16"/>
  <c r="AT54" i="16"/>
  <c r="CN80" i="16"/>
  <c r="CQ34" i="16"/>
  <c r="EC64" i="16"/>
  <c r="AL64" i="16" s="1"/>
  <c r="CO83" i="16"/>
  <c r="CP61" i="16"/>
  <c r="CO38" i="16"/>
  <c r="CO77" i="16"/>
  <c r="CO70" i="16"/>
  <c r="EI70" i="16"/>
  <c r="DM70" i="16"/>
  <c r="AR70" i="16" s="1"/>
  <c r="BQ70" i="16" s="1"/>
  <c r="CP45" i="16"/>
  <c r="BP51" i="16"/>
  <c r="AR51" i="16"/>
  <c r="EC62" i="16"/>
  <c r="AL62" i="16" s="1"/>
  <c r="BV52" i="16"/>
  <c r="AX52" i="16"/>
  <c r="CO63" i="16"/>
  <c r="CO36" i="16"/>
  <c r="CN62" i="16"/>
  <c r="CN59" i="16"/>
  <c r="CQ68" i="16"/>
  <c r="CO48" i="16"/>
  <c r="CT81" i="16"/>
  <c r="CO66" i="16"/>
  <c r="EC61" i="16"/>
  <c r="AL61" i="16" s="1"/>
  <c r="EI73" i="16"/>
  <c r="DM73" i="16"/>
  <c r="CO73" i="16"/>
  <c r="CN35" i="16"/>
  <c r="BU55" i="16"/>
  <c r="AW55" i="16"/>
  <c r="CN41" i="16"/>
  <c r="CN58" i="16"/>
  <c r="CN75" i="16"/>
  <c r="CN72" i="16"/>
  <c r="CO65" i="16"/>
  <c r="CO60" i="16"/>
  <c r="CP67" i="16"/>
  <c r="CQ32" i="16"/>
  <c r="EC65" i="16"/>
  <c r="AL65" i="16" s="1"/>
  <c r="DM74" i="16"/>
  <c r="AR74" i="16" s="1"/>
  <c r="BQ74" i="16" s="1"/>
  <c r="EI74" i="16"/>
  <c r="CO74" i="16"/>
  <c r="CO31" i="16"/>
  <c r="DM71" i="16"/>
  <c r="CO71" i="16"/>
  <c r="EI71" i="16"/>
  <c r="CO64" i="16"/>
  <c r="BJ66" i="16"/>
  <c r="DG66" i="16"/>
  <c r="BQ49" i="16"/>
  <c r="AS49" i="16"/>
  <c r="EC58" i="16"/>
  <c r="AL58" i="16" s="1"/>
  <c r="BW56" i="16"/>
  <c r="AY56" i="16"/>
  <c r="BK64" i="16" l="1"/>
  <c r="DH64" i="16"/>
  <c r="BK65" i="16"/>
  <c r="DH65" i="16"/>
  <c r="BK61" i="16"/>
  <c r="DH61" i="16"/>
  <c r="BK59" i="16"/>
  <c r="DH59" i="16"/>
  <c r="BV55" i="16"/>
  <c r="AX55" i="16"/>
  <c r="CQ45" i="16"/>
  <c r="EC60" i="16"/>
  <c r="AL60" i="16" s="1"/>
  <c r="EC66" i="16"/>
  <c r="AL66" i="16" s="1"/>
  <c r="CO75" i="16"/>
  <c r="EI75" i="16"/>
  <c r="DM75" i="16"/>
  <c r="CR68" i="16"/>
  <c r="CO76" i="16"/>
  <c r="CP71" i="16"/>
  <c r="CQ67" i="16"/>
  <c r="CP31" i="16"/>
  <c r="CR32" i="16"/>
  <c r="CO58" i="16"/>
  <c r="CO35" i="16"/>
  <c r="CP66" i="16"/>
  <c r="CQ61" i="16"/>
  <c r="CR34" i="16"/>
  <c r="BU57" i="16"/>
  <c r="AW57" i="16"/>
  <c r="CO40" i="16"/>
  <c r="CP74" i="16"/>
  <c r="CP65" i="16"/>
  <c r="AR73" i="16"/>
  <c r="BQ73" i="16" s="1"/>
  <c r="BQ51" i="16"/>
  <c r="AS51" i="16"/>
  <c r="CO80" i="16"/>
  <c r="CQ78" i="16"/>
  <c r="CO47" i="16"/>
  <c r="AZ56" i="16"/>
  <c r="BX56" i="16"/>
  <c r="CP73" i="16"/>
  <c r="CP36" i="16"/>
  <c r="CP70" i="16"/>
  <c r="CR43" i="16"/>
  <c r="CU81" i="16"/>
  <c r="CO59" i="16"/>
  <c r="CP63" i="16"/>
  <c r="CP77" i="16"/>
  <c r="CP83" i="16"/>
  <c r="CP44" i="16"/>
  <c r="CQ37" i="16"/>
  <c r="CQ39" i="16"/>
  <c r="CP64" i="16"/>
  <c r="BK62" i="16"/>
  <c r="DH62" i="16"/>
  <c r="BK58" i="16"/>
  <c r="DH58" i="16"/>
  <c r="CO41" i="16"/>
  <c r="BS54" i="16"/>
  <c r="AU54" i="16"/>
  <c r="CO84" i="16"/>
  <c r="CO82" i="16"/>
  <c r="BR53" i="16"/>
  <c r="AT53" i="16"/>
  <c r="BR49" i="16"/>
  <c r="AT49" i="16"/>
  <c r="CO72" i="16"/>
  <c r="EI72" i="16"/>
  <c r="DM72" i="16"/>
  <c r="AR72" i="16" s="1"/>
  <c r="BQ72" i="16" s="1"/>
  <c r="BN63" i="16"/>
  <c r="DK63" i="16"/>
  <c r="CP33" i="16"/>
  <c r="AR71" i="16"/>
  <c r="BQ71" i="16" s="1"/>
  <c r="CP60" i="16"/>
  <c r="CP48" i="16"/>
  <c r="CO62" i="16"/>
  <c r="BW52" i="16"/>
  <c r="AY52" i="16"/>
  <c r="CP38" i="16"/>
  <c r="CR69" i="16"/>
  <c r="CP42" i="16"/>
  <c r="CO79" i="16"/>
  <c r="CT46" i="16"/>
  <c r="BQ50" i="16"/>
  <c r="AS50" i="16"/>
  <c r="AR75" i="16" l="1"/>
  <c r="BQ75" i="16" s="1"/>
  <c r="BK66" i="16"/>
  <c r="DH66" i="16"/>
  <c r="CQ83" i="16"/>
  <c r="CP59" i="16"/>
  <c r="CS32" i="16"/>
  <c r="ED59" i="16"/>
  <c r="AM59" i="16" s="1"/>
  <c r="CR78" i="16"/>
  <c r="CQ65" i="16"/>
  <c r="BV57" i="16"/>
  <c r="AX57" i="16"/>
  <c r="CQ66" i="16"/>
  <c r="CQ71" i="16"/>
  <c r="CS69" i="16"/>
  <c r="EJ72" i="16"/>
  <c r="DN72" i="16"/>
  <c r="AS72" i="16" s="1"/>
  <c r="BR72" i="16" s="1"/>
  <c r="CP72" i="16"/>
  <c r="BS49" i="16"/>
  <c r="AU49" i="16"/>
  <c r="CP84" i="16"/>
  <c r="CR37" i="16"/>
  <c r="CQ77" i="16"/>
  <c r="CP80" i="16"/>
  <c r="CR45" i="16"/>
  <c r="BX52" i="16"/>
  <c r="AZ52" i="16"/>
  <c r="CP41" i="16"/>
  <c r="CP62" i="16"/>
  <c r="ED61" i="16"/>
  <c r="AM61" i="16" s="1"/>
  <c r="CP79" i="16"/>
  <c r="CQ33" i="16"/>
  <c r="ED62" i="16"/>
  <c r="AM62" i="16" s="1"/>
  <c r="CV81" i="16"/>
  <c r="CQ70" i="16"/>
  <c r="BY56" i="16"/>
  <c r="BZ56" i="16" s="1"/>
  <c r="CA56" i="16" s="1"/>
  <c r="G9" i="17" s="1"/>
  <c r="BA56" i="16"/>
  <c r="BB56" i="16" s="1"/>
  <c r="BC56" i="16" s="1"/>
  <c r="CQ74" i="16"/>
  <c r="CS34" i="16"/>
  <c r="CP35" i="16"/>
  <c r="ED65" i="16"/>
  <c r="AM65" i="16" s="1"/>
  <c r="CS43" i="16"/>
  <c r="CP40" i="16"/>
  <c r="CQ60" i="16"/>
  <c r="ED58" i="16"/>
  <c r="AM58" i="16" s="1"/>
  <c r="CQ31" i="16"/>
  <c r="CS68" i="16"/>
  <c r="AP63" i="16"/>
  <c r="EG63" i="16"/>
  <c r="BS53" i="16"/>
  <c r="AU53" i="16"/>
  <c r="BT54" i="16"/>
  <c r="AV54" i="16"/>
  <c r="BR51" i="16"/>
  <c r="AT51" i="16"/>
  <c r="CP76" i="16"/>
  <c r="BW55" i="16"/>
  <c r="AY55" i="16"/>
  <c r="CQ42" i="16"/>
  <c r="CR67" i="16"/>
  <c r="BR50" i="16"/>
  <c r="AT50" i="16"/>
  <c r="CP82" i="16"/>
  <c r="CR39" i="16"/>
  <c r="CQ73" i="16"/>
  <c r="BK60" i="16"/>
  <c r="DH60" i="16"/>
  <c r="CU46" i="16"/>
  <c r="CQ38" i="16"/>
  <c r="CQ48" i="16"/>
  <c r="CQ64" i="16"/>
  <c r="CQ44" i="16"/>
  <c r="CQ63" i="16"/>
  <c r="CQ36" i="16"/>
  <c r="CP47" i="16"/>
  <c r="CR61" i="16"/>
  <c r="CP58" i="16"/>
  <c r="CP75" i="16"/>
  <c r="AM64" i="16"/>
  <c r="ED64" i="16"/>
  <c r="BL65" i="16" l="1"/>
  <c r="DI65" i="16"/>
  <c r="BL62" i="16"/>
  <c r="DI62" i="16"/>
  <c r="BL59" i="16"/>
  <c r="DI59" i="16"/>
  <c r="BL61" i="16"/>
  <c r="DI61" i="16"/>
  <c r="CQ84" i="16"/>
  <c r="BS51" i="16"/>
  <c r="AU51" i="16"/>
  <c r="CQ79" i="16"/>
  <c r="CQ41" i="16"/>
  <c r="CQ82" i="16"/>
  <c r="CR60" i="16"/>
  <c r="CR74" i="16"/>
  <c r="CW81" i="16"/>
  <c r="BY52" i="16"/>
  <c r="BZ52" i="16" s="1"/>
  <c r="CA52" i="16" s="1"/>
  <c r="G5" i="17" s="1"/>
  <c r="BA52" i="16"/>
  <c r="BB52" i="16" s="1"/>
  <c r="BC52" i="16" s="1"/>
  <c r="BT49" i="16"/>
  <c r="AV49" i="16"/>
  <c r="CR66" i="16"/>
  <c r="CS78" i="16"/>
  <c r="EK72" i="16"/>
  <c r="DO72" i="16"/>
  <c r="AT72" i="16" s="1"/>
  <c r="BS72" i="16" s="1"/>
  <c r="CQ72" i="16"/>
  <c r="BW57" i="16"/>
  <c r="AY57" i="16"/>
  <c r="CR83" i="16"/>
  <c r="BL58" i="16"/>
  <c r="DI58" i="16"/>
  <c r="CQ80" i="16"/>
  <c r="CQ58" i="16"/>
  <c r="CR42" i="16"/>
  <c r="CT69" i="16"/>
  <c r="CR63" i="16"/>
  <c r="CR38" i="16"/>
  <c r="CR73" i="16"/>
  <c r="BT53" i="16"/>
  <c r="AV53" i="16"/>
  <c r="CS45" i="16"/>
  <c r="CR36" i="16"/>
  <c r="CS67" i="16"/>
  <c r="BL64" i="16"/>
  <c r="DI64" i="16"/>
  <c r="CR48" i="16"/>
  <c r="BU54" i="16"/>
  <c r="AW54" i="16"/>
  <c r="CQ35" i="16"/>
  <c r="CR77" i="16"/>
  <c r="CS61" i="16"/>
  <c r="BX55" i="16"/>
  <c r="AZ55" i="16"/>
  <c r="CT68" i="16"/>
  <c r="CQ40" i="16"/>
  <c r="CQ47" i="16"/>
  <c r="CR44" i="16"/>
  <c r="CR31" i="16"/>
  <c r="CT43" i="16"/>
  <c r="CT34" i="16"/>
  <c r="CQ62" i="16"/>
  <c r="CS37" i="16"/>
  <c r="CT32" i="16"/>
  <c r="ED60" i="16"/>
  <c r="AM60" i="16" s="1"/>
  <c r="CR70" i="16"/>
  <c r="CR71" i="16"/>
  <c r="CQ75" i="16"/>
  <c r="BS50" i="16"/>
  <c r="AU50" i="16"/>
  <c r="CR64" i="16"/>
  <c r="CV46" i="16"/>
  <c r="CS39" i="16"/>
  <c r="CQ76" i="16"/>
  <c r="CR33" i="16"/>
  <c r="CR65" i="16"/>
  <c r="AM66" i="16"/>
  <c r="ED66" i="16"/>
  <c r="BO63" i="16"/>
  <c r="DL63" i="16"/>
  <c r="CQ59" i="16"/>
  <c r="DM81" i="16"/>
  <c r="DK81" i="16"/>
  <c r="DI81" i="16"/>
  <c r="DH81" i="16"/>
  <c r="DF81" i="16"/>
  <c r="DE81" i="16"/>
  <c r="DD81" i="16"/>
  <c r="DC81" i="16"/>
  <c r="DA81" i="16"/>
  <c r="DB81" i="16"/>
  <c r="DG81" i="16"/>
  <c r="DJ81" i="16"/>
  <c r="DL81" i="16"/>
  <c r="DN81" i="16"/>
  <c r="DO81" i="16"/>
  <c r="BL60" i="16" l="1"/>
  <c r="DI60" i="16"/>
  <c r="CR75" i="16"/>
  <c r="CT61" i="16"/>
  <c r="CT67" i="16"/>
  <c r="CW46" i="16"/>
  <c r="CS31" i="16"/>
  <c r="CS48" i="16"/>
  <c r="CS36" i="16"/>
  <c r="CR80" i="16"/>
  <c r="CR79" i="16"/>
  <c r="EE59" i="16"/>
  <c r="AN59" i="16" s="1"/>
  <c r="CU68" i="16"/>
  <c r="BX57" i="16"/>
  <c r="AZ57" i="16"/>
  <c r="CT78" i="16"/>
  <c r="EH63" i="16"/>
  <c r="AQ63" i="16" s="1"/>
  <c r="CS33" i="16"/>
  <c r="CR62" i="16"/>
  <c r="CS77" i="16"/>
  <c r="EE64" i="16"/>
  <c r="AN64" i="16" s="1"/>
  <c r="CS38" i="16"/>
  <c r="CU69" i="16"/>
  <c r="DP72" i="16"/>
  <c r="AU72" i="16" s="1"/>
  <c r="BT72" i="16" s="1"/>
  <c r="CR72" i="16"/>
  <c r="EL72" i="16"/>
  <c r="CS66" i="16"/>
  <c r="CX81" i="16"/>
  <c r="BT51" i="16"/>
  <c r="AV51" i="16"/>
  <c r="CS70" i="16"/>
  <c r="CS64" i="16"/>
  <c r="CS44" i="16"/>
  <c r="CT45" i="16"/>
  <c r="CS74" i="16"/>
  <c r="CR82" i="16"/>
  <c r="CT39" i="16"/>
  <c r="EE58" i="16"/>
  <c r="AN58" i="16" s="1"/>
  <c r="CR76" i="16"/>
  <c r="CR47" i="16"/>
  <c r="BY55" i="16"/>
  <c r="BZ55" i="16" s="1"/>
  <c r="CA55" i="16" s="1"/>
  <c r="G8" i="17" s="1"/>
  <c r="BA55" i="16"/>
  <c r="BB55" i="16" s="1"/>
  <c r="BC55" i="16" s="1"/>
  <c r="CR35" i="16"/>
  <c r="BU53" i="16"/>
  <c r="AW53" i="16"/>
  <c r="CS42" i="16"/>
  <c r="AW49" i="16"/>
  <c r="BU49" i="16"/>
  <c r="EE62" i="16"/>
  <c r="AN62" i="16" s="1"/>
  <c r="CS65" i="16"/>
  <c r="CR40" i="16"/>
  <c r="CT37" i="16"/>
  <c r="BL66" i="16"/>
  <c r="DI66" i="16"/>
  <c r="AV50" i="16"/>
  <c r="BT50" i="16"/>
  <c r="CU34" i="16"/>
  <c r="CS63" i="16"/>
  <c r="CR84" i="16"/>
  <c r="CR59" i="16"/>
  <c r="CU43" i="16"/>
  <c r="CS71" i="16"/>
  <c r="CU32" i="16"/>
  <c r="BV54" i="16"/>
  <c r="AX54" i="16"/>
  <c r="CS73" i="16"/>
  <c r="CR58" i="16"/>
  <c r="CS83" i="16"/>
  <c r="CR41" i="16"/>
  <c r="AN65" i="16"/>
  <c r="EE65" i="16"/>
  <c r="CS60" i="16"/>
  <c r="EE61" i="16"/>
  <c r="AN61" i="16" s="1"/>
  <c r="DP81" i="16"/>
  <c r="BM64" i="16" l="1"/>
  <c r="DJ64" i="16"/>
  <c r="BM59" i="16"/>
  <c r="DJ59" i="16"/>
  <c r="BM61" i="16"/>
  <c r="DJ61" i="16"/>
  <c r="BM62" i="16"/>
  <c r="DJ62" i="16"/>
  <c r="BM58" i="16"/>
  <c r="DJ58" i="16"/>
  <c r="CS59" i="16"/>
  <c r="CS41" i="16"/>
  <c r="CS47" i="16"/>
  <c r="CT66" i="16"/>
  <c r="CT73" i="16"/>
  <c r="CS84" i="16"/>
  <c r="BU50" i="16"/>
  <c r="AW50" i="16"/>
  <c r="BV53" i="16"/>
  <c r="AX53" i="16"/>
  <c r="CT44" i="16"/>
  <c r="CV69" i="16"/>
  <c r="CT36" i="16"/>
  <c r="CU67" i="16"/>
  <c r="CS75" i="16"/>
  <c r="CV34" i="16"/>
  <c r="CS82" i="16"/>
  <c r="CT83" i="16"/>
  <c r="CT71" i="16"/>
  <c r="EE66" i="16"/>
  <c r="AN66" i="16" s="1"/>
  <c r="CS76" i="16"/>
  <c r="BU51" i="16"/>
  <c r="AW51" i="16"/>
  <c r="CT38" i="16"/>
  <c r="CS62" i="16"/>
  <c r="CS40" i="16"/>
  <c r="CT77" i="16"/>
  <c r="CX46" i="16"/>
  <c r="CU45" i="16"/>
  <c r="CT60" i="16"/>
  <c r="BW54" i="16"/>
  <c r="AY54" i="16"/>
  <c r="CT64" i="16"/>
  <c r="DQ72" i="16"/>
  <c r="AV72" i="16" s="1"/>
  <c r="BU72" i="16" s="1"/>
  <c r="CS72" i="16"/>
  <c r="EM72" i="16"/>
  <c r="BY57" i="16"/>
  <c r="BZ57" i="16" s="1"/>
  <c r="CA57" i="16" s="1"/>
  <c r="G10" i="17" s="1"/>
  <c r="BA57" i="16"/>
  <c r="BB57" i="16" s="1"/>
  <c r="BC57" i="16" s="1"/>
  <c r="CS79" i="16"/>
  <c r="CT48" i="16"/>
  <c r="BM65" i="16"/>
  <c r="DJ65" i="16"/>
  <c r="CV32" i="16"/>
  <c r="CT65" i="16"/>
  <c r="CV43" i="16"/>
  <c r="CT63" i="16"/>
  <c r="CS35" i="16"/>
  <c r="CT33" i="16"/>
  <c r="EE60" i="16"/>
  <c r="AN60" i="16" s="1"/>
  <c r="BV49" i="16"/>
  <c r="AX49" i="16"/>
  <c r="BP63" i="16"/>
  <c r="DM63" i="16"/>
  <c r="CT42" i="16"/>
  <c r="CU78" i="16"/>
  <c r="CS58" i="16"/>
  <c r="CU37" i="16"/>
  <c r="CV68" i="16"/>
  <c r="CU61" i="16"/>
  <c r="CU39" i="16"/>
  <c r="CT74" i="16"/>
  <c r="CT70" i="16"/>
  <c r="CY81" i="16"/>
  <c r="CS80" i="16"/>
  <c r="CT31" i="16"/>
  <c r="DQ81" i="16"/>
  <c r="A46" i="16" a="1"/>
  <c r="A46" i="16" l="1"/>
  <c r="BA46" i="16" s="1"/>
  <c r="BM66" i="16"/>
  <c r="DJ66" i="16"/>
  <c r="BM60" i="16"/>
  <c r="DJ60" i="16"/>
  <c r="CV39" i="16"/>
  <c r="BV50" i="16"/>
  <c r="AX50" i="16"/>
  <c r="CV78" i="16"/>
  <c r="CT41" i="16"/>
  <c r="CU74" i="16"/>
  <c r="CT62" i="16"/>
  <c r="CU31" i="16"/>
  <c r="CU70" i="16"/>
  <c r="CU33" i="16"/>
  <c r="CW43" i="16"/>
  <c r="CU48" i="16"/>
  <c r="CT72" i="16"/>
  <c r="EN72" i="16"/>
  <c r="DR72" i="16"/>
  <c r="AW72" i="16" s="1"/>
  <c r="BV72" i="16" s="1"/>
  <c r="CU60" i="16"/>
  <c r="CU77" i="16"/>
  <c r="CU38" i="16"/>
  <c r="CT82" i="16"/>
  <c r="CT59" i="16"/>
  <c r="EF59" i="16"/>
  <c r="AO59" i="16" s="1"/>
  <c r="CU63" i="16"/>
  <c r="CY46" i="16"/>
  <c r="CU83" i="16"/>
  <c r="CU36" i="16"/>
  <c r="EF61" i="16"/>
  <c r="AO61" i="16" s="1"/>
  <c r="CU42" i="16"/>
  <c r="CV67" i="16"/>
  <c r="CU66" i="16"/>
  <c r="BW53" i="16"/>
  <c r="AY53" i="16"/>
  <c r="EF65" i="16"/>
  <c r="AO65" i="16" s="1"/>
  <c r="CT80" i="16"/>
  <c r="CV37" i="16"/>
  <c r="CV61" i="16"/>
  <c r="EI63" i="16"/>
  <c r="AR63" i="16" s="1"/>
  <c r="CT35" i="16"/>
  <c r="CU65" i="16"/>
  <c r="BV51" i="16"/>
  <c r="AX51" i="16"/>
  <c r="CW69" i="16"/>
  <c r="CT84" i="16"/>
  <c r="EF58" i="16"/>
  <c r="AO58" i="16" s="1"/>
  <c r="EF64" i="16"/>
  <c r="AO64" i="16" s="1"/>
  <c r="CT58" i="16"/>
  <c r="CT79" i="16"/>
  <c r="CU44" i="16"/>
  <c r="CT47" i="16"/>
  <c r="CW68" i="16"/>
  <c r="CW32" i="16"/>
  <c r="BX54" i="16"/>
  <c r="AZ54" i="16"/>
  <c r="CT75" i="16"/>
  <c r="CZ81" i="16"/>
  <c r="BW49" i="16"/>
  <c r="AY49" i="16"/>
  <c r="CU64" i="16"/>
  <c r="CV45" i="16"/>
  <c r="CT40" i="16"/>
  <c r="CT76" i="16"/>
  <c r="CU71" i="16"/>
  <c r="CW34" i="16"/>
  <c r="CU73" i="16"/>
  <c r="EF62" i="16"/>
  <c r="AO62" i="16" s="1"/>
  <c r="DR81" i="16"/>
  <c r="BN65" i="16" l="1"/>
  <c r="DK65" i="16"/>
  <c r="BN64" i="16"/>
  <c r="DK64" i="16"/>
  <c r="BQ63" i="16"/>
  <c r="DN63" i="16"/>
  <c r="BN59" i="16"/>
  <c r="DK59" i="16"/>
  <c r="BN58" i="16"/>
  <c r="DK58" i="16"/>
  <c r="BN61" i="16"/>
  <c r="DK61" i="16"/>
  <c r="CV60" i="16"/>
  <c r="CV48" i="16"/>
  <c r="CW39" i="16"/>
  <c r="CV64" i="16"/>
  <c r="CX68" i="16"/>
  <c r="CY68" i="16" s="1"/>
  <c r="CZ68" i="16" s="1"/>
  <c r="CU79" i="16"/>
  <c r="BW51" i="16"/>
  <c r="AY51" i="16"/>
  <c r="CW67" i="16"/>
  <c r="CV63" i="16"/>
  <c r="CU82" i="16"/>
  <c r="CV31" i="16"/>
  <c r="CU80" i="16"/>
  <c r="CV36" i="16"/>
  <c r="EF60" i="16"/>
  <c r="AO60" i="16" s="1"/>
  <c r="CX34" i="16"/>
  <c r="AZ34" i="16"/>
  <c r="BY34" i="16" s="1"/>
  <c r="B34" i="16"/>
  <c r="A34" i="16"/>
  <c r="CU76" i="16"/>
  <c r="BX49" i="16"/>
  <c r="AZ49" i="16"/>
  <c r="CU75" i="16"/>
  <c r="CU58" i="16"/>
  <c r="CU84" i="16"/>
  <c r="CW61" i="16"/>
  <c r="CV33" i="16"/>
  <c r="CU41" i="16"/>
  <c r="BY54" i="16"/>
  <c r="BZ54" i="16" s="1"/>
  <c r="CA54" i="16" s="1"/>
  <c r="G7" i="17" s="1"/>
  <c r="BA54" i="16"/>
  <c r="BB54" i="16" s="1"/>
  <c r="BC54" i="16" s="1"/>
  <c r="CV65" i="16"/>
  <c r="BX53" i="16"/>
  <c r="AZ53" i="16"/>
  <c r="CV83" i="16"/>
  <c r="CV38" i="16"/>
  <c r="CU62" i="16"/>
  <c r="CW78" i="16"/>
  <c r="AO66" i="16"/>
  <c r="EF66" i="16"/>
  <c r="CV71" i="16"/>
  <c r="CU40" i="16"/>
  <c r="CU47" i="16"/>
  <c r="CX69" i="16"/>
  <c r="CY69" i="16" s="1"/>
  <c r="CZ69" i="16" s="1"/>
  <c r="CW37" i="16"/>
  <c r="CV42" i="16"/>
  <c r="CV77" i="16"/>
  <c r="BN62" i="16"/>
  <c r="DK62" i="16"/>
  <c r="CW45" i="16"/>
  <c r="CV44" i="16"/>
  <c r="CZ46" i="16"/>
  <c r="BC46" i="16" s="1"/>
  <c r="BB46" i="16"/>
  <c r="CU59" i="16"/>
  <c r="CU72" i="16"/>
  <c r="EO72" i="16"/>
  <c r="DS72" i="16"/>
  <c r="AX72" i="16" s="1"/>
  <c r="BW72" i="16" s="1"/>
  <c r="CV70" i="16"/>
  <c r="CV74" i="16"/>
  <c r="BW50" i="16"/>
  <c r="AY50" i="16"/>
  <c r="CX43" i="16"/>
  <c r="CV73" i="16"/>
  <c r="AZ32" i="16"/>
  <c r="BY32" i="16" s="1"/>
  <c r="CX32" i="16"/>
  <c r="A32" i="16"/>
  <c r="B32" i="16"/>
  <c r="CU35" i="16"/>
  <c r="CV66" i="16"/>
  <c r="AF46" i="16"/>
  <c r="BE46" i="16" s="1"/>
  <c r="AH46" i="16"/>
  <c r="BG46" i="16" s="1"/>
  <c r="AG46" i="16"/>
  <c r="BF46" i="16" s="1"/>
  <c r="AE46" i="16"/>
  <c r="BD46" i="16" s="1"/>
  <c r="AJ46" i="16"/>
  <c r="BI46" i="16" s="1"/>
  <c r="AI46" i="16"/>
  <c r="BH46" i="16" s="1"/>
  <c r="AK46" i="16"/>
  <c r="BJ46" i="16" s="1"/>
  <c r="AL46" i="16"/>
  <c r="BK46" i="16" s="1"/>
  <c r="AM46" i="16"/>
  <c r="BL46" i="16" s="1"/>
  <c r="AN46" i="16"/>
  <c r="BM46" i="16" s="1"/>
  <c r="AO46" i="16"/>
  <c r="BN46" i="16" s="1"/>
  <c r="AP46" i="16"/>
  <c r="BO46" i="16" s="1"/>
  <c r="AQ46" i="16"/>
  <c r="BP46" i="16" s="1"/>
  <c r="AR46" i="16"/>
  <c r="BQ46" i="16" s="1"/>
  <c r="AS46" i="16"/>
  <c r="BR46" i="16" s="1"/>
  <c r="AT46" i="16"/>
  <c r="BS46" i="16" s="1"/>
  <c r="AU46" i="16"/>
  <c r="BT46" i="16" s="1"/>
  <c r="AV46" i="16"/>
  <c r="BU46" i="16" s="1"/>
  <c r="AW46" i="16"/>
  <c r="BV46" i="16" s="1"/>
  <c r="AX46" i="16"/>
  <c r="BW46" i="16" s="1"/>
  <c r="AY46" i="16"/>
  <c r="BX46" i="16" s="1"/>
  <c r="AZ46" i="16"/>
  <c r="BY46" i="16" s="1"/>
  <c r="DS78" i="16"/>
  <c r="DR78" i="16"/>
  <c r="DQ78" i="16"/>
  <c r="DO78" i="16"/>
  <c r="DM78" i="16"/>
  <c r="DK78" i="16"/>
  <c r="DJ78" i="16"/>
  <c r="DH78" i="16"/>
  <c r="DG78" i="16"/>
  <c r="DE78" i="16"/>
  <c r="DC78" i="16"/>
  <c r="DB78" i="16"/>
  <c r="DA78" i="16"/>
  <c r="DD78" i="16"/>
  <c r="DF78" i="16"/>
  <c r="DI78" i="16"/>
  <c r="DL78" i="16"/>
  <c r="DN78" i="16"/>
  <c r="DP78" i="16"/>
  <c r="DS81" i="16"/>
  <c r="A43" i="16" a="1"/>
  <c r="E68" i="16"/>
  <c r="E69" i="16"/>
  <c r="E81" i="16" l="1"/>
  <c r="E78" i="16"/>
  <c r="ET68" i="16"/>
  <c r="DN68" i="16" s="1"/>
  <c r="EV68" i="16"/>
  <c r="EU68" i="16"/>
  <c r="ES68" i="16"/>
  <c r="EW68" i="16"/>
  <c r="EX68" i="16"/>
  <c r="EY68" i="16"/>
  <c r="EZ68" i="16"/>
  <c r="FA68" i="16"/>
  <c r="FB68" i="16"/>
  <c r="FC68" i="16"/>
  <c r="FD68" i="16"/>
  <c r="A43" i="16"/>
  <c r="BA43" i="16" s="1"/>
  <c r="ES69" i="16"/>
  <c r="EV69" i="16"/>
  <c r="ET69" i="16"/>
  <c r="DN69" i="16" s="1"/>
  <c r="EU69" i="16"/>
  <c r="EW69" i="16"/>
  <c r="EX69" i="16"/>
  <c r="EY69" i="16"/>
  <c r="EZ69" i="16"/>
  <c r="FA69" i="16"/>
  <c r="FB69" i="16"/>
  <c r="FC69" i="16"/>
  <c r="FD69" i="16"/>
  <c r="BN60" i="16"/>
  <c r="DK60" i="16"/>
  <c r="BA32" i="16"/>
  <c r="CY32" i="16"/>
  <c r="BX50" i="16"/>
  <c r="AZ50" i="16"/>
  <c r="CV41" i="16"/>
  <c r="AF32" i="16"/>
  <c r="BE32" i="16" s="1"/>
  <c r="AG32" i="16"/>
  <c r="BF32" i="16" s="1"/>
  <c r="AE32" i="16"/>
  <c r="BD32" i="16" s="1"/>
  <c r="AH32" i="16"/>
  <c r="BG32" i="16" s="1"/>
  <c r="AI32" i="16"/>
  <c r="BH32" i="16" s="1"/>
  <c r="AJ32" i="16"/>
  <c r="BI32" i="16" s="1"/>
  <c r="AK32" i="16"/>
  <c r="BJ32" i="16" s="1"/>
  <c r="AL32" i="16"/>
  <c r="BK32" i="16" s="1"/>
  <c r="AM32" i="16"/>
  <c r="BL32" i="16" s="1"/>
  <c r="AN32" i="16"/>
  <c r="BM32" i="16" s="1"/>
  <c r="AO32" i="16"/>
  <c r="BN32" i="16" s="1"/>
  <c r="AP32" i="16"/>
  <c r="BO32" i="16" s="1"/>
  <c r="AQ32" i="16"/>
  <c r="BP32" i="16" s="1"/>
  <c r="AR32" i="16"/>
  <c r="BQ32" i="16" s="1"/>
  <c r="AS32" i="16"/>
  <c r="BR32" i="16" s="1"/>
  <c r="AT32" i="16"/>
  <c r="BS32" i="16" s="1"/>
  <c r="AU32" i="16"/>
  <c r="BT32" i="16" s="1"/>
  <c r="AV32" i="16"/>
  <c r="BU32" i="16" s="1"/>
  <c r="AW32" i="16"/>
  <c r="BV32" i="16" s="1"/>
  <c r="AX32" i="16"/>
  <c r="BW32" i="16" s="1"/>
  <c r="AY32" i="16"/>
  <c r="BX32" i="16" s="1"/>
  <c r="CW38" i="16"/>
  <c r="AG34" i="16"/>
  <c r="BF34" i="16" s="1"/>
  <c r="AE34" i="16"/>
  <c r="BD34" i="16" s="1"/>
  <c r="AH34" i="16"/>
  <c r="BG34" i="16" s="1"/>
  <c r="AF34" i="16"/>
  <c r="BE34" i="16" s="1"/>
  <c r="AI34" i="16"/>
  <c r="BH34" i="16" s="1"/>
  <c r="AJ34" i="16"/>
  <c r="BI34" i="16" s="1"/>
  <c r="AK34" i="16"/>
  <c r="BJ34" i="16" s="1"/>
  <c r="AL34" i="16"/>
  <c r="BK34" i="16" s="1"/>
  <c r="AM34" i="16"/>
  <c r="BL34" i="16" s="1"/>
  <c r="AN34" i="16"/>
  <c r="BM34" i="16" s="1"/>
  <c r="AO34" i="16"/>
  <c r="BN34" i="16" s="1"/>
  <c r="AP34" i="16"/>
  <c r="BO34" i="16" s="1"/>
  <c r="AQ34" i="16"/>
  <c r="BP34" i="16" s="1"/>
  <c r="AR34" i="16"/>
  <c r="BQ34" i="16" s="1"/>
  <c r="AS34" i="16"/>
  <c r="BR34" i="16" s="1"/>
  <c r="AT34" i="16"/>
  <c r="BS34" i="16" s="1"/>
  <c r="AU34" i="16"/>
  <c r="BT34" i="16" s="1"/>
  <c r="AV34" i="16"/>
  <c r="BU34" i="16" s="1"/>
  <c r="AW34" i="16"/>
  <c r="BV34" i="16" s="1"/>
  <c r="AX34" i="16"/>
  <c r="BW34" i="16" s="1"/>
  <c r="AY34" i="16"/>
  <c r="BX34" i="16" s="1"/>
  <c r="CW60" i="16"/>
  <c r="CV84" i="16"/>
  <c r="CV80" i="16"/>
  <c r="CW63" i="16"/>
  <c r="EJ63" i="16"/>
  <c r="AS63" i="16" s="1"/>
  <c r="BN66" i="16"/>
  <c r="DK66" i="16"/>
  <c r="CW83" i="16"/>
  <c r="CW66" i="16"/>
  <c r="CW70" i="16"/>
  <c r="CX78" i="16"/>
  <c r="CW31" i="16"/>
  <c r="EG61" i="16"/>
  <c r="AP61" i="16" s="1"/>
  <c r="CW77" i="16"/>
  <c r="CW71" i="16"/>
  <c r="CW33" i="16"/>
  <c r="CV58" i="16"/>
  <c r="CX67" i="16"/>
  <c r="CY67" i="16" s="1"/>
  <c r="CZ67" i="16" s="1"/>
  <c r="CX39" i="16"/>
  <c r="AZ39" i="16"/>
  <c r="BY39" i="16" s="1"/>
  <c r="B39" i="16"/>
  <c r="A39" i="16"/>
  <c r="CV59" i="16"/>
  <c r="BY49" i="16"/>
  <c r="BZ49" i="16" s="1"/>
  <c r="CA49" i="16" s="1"/>
  <c r="G2" i="17" s="1"/>
  <c r="BA49" i="16"/>
  <c r="BB49" i="16" s="1"/>
  <c r="BC49" i="16" s="1"/>
  <c r="CW74" i="16"/>
  <c r="CW44" i="16"/>
  <c r="CW42" i="16"/>
  <c r="CV62" i="16"/>
  <c r="EG58" i="16"/>
  <c r="AP58" i="16" s="1"/>
  <c r="AP65" i="16"/>
  <c r="EG65" i="16"/>
  <c r="CV75" i="16"/>
  <c r="CV79" i="16"/>
  <c r="CV40" i="16"/>
  <c r="AP64" i="16"/>
  <c r="EG64" i="16"/>
  <c r="BZ46" i="16"/>
  <c r="CA46" i="16" s="1"/>
  <c r="F8" i="17" s="1"/>
  <c r="CV35" i="16"/>
  <c r="CW73" i="16"/>
  <c r="CW65" i="16"/>
  <c r="CV76" i="16"/>
  <c r="CW36" i="16"/>
  <c r="CV82" i="16"/>
  <c r="CW48" i="16"/>
  <c r="EG62" i="16"/>
  <c r="AP62" i="16" s="1"/>
  <c r="CW64" i="16"/>
  <c r="BY53" i="16"/>
  <c r="BZ53" i="16" s="1"/>
  <c r="CA53" i="16" s="1"/>
  <c r="G6" i="17" s="1"/>
  <c r="BA53" i="16"/>
  <c r="BB53" i="16" s="1"/>
  <c r="BC53" i="16" s="1"/>
  <c r="BA34" i="16"/>
  <c r="CY34" i="16"/>
  <c r="CY43" i="16"/>
  <c r="CV72" i="16"/>
  <c r="CX45" i="16"/>
  <c r="CX37" i="16"/>
  <c r="B37" i="16"/>
  <c r="A37" i="16"/>
  <c r="CV47" i="16"/>
  <c r="CX61" i="16"/>
  <c r="CY61" i="16" s="1"/>
  <c r="CZ61" i="16" s="1"/>
  <c r="BX51" i="16"/>
  <c r="AZ51" i="16"/>
  <c r="EG59" i="16"/>
  <c r="AP59" i="16" s="1"/>
  <c r="DS83" i="16"/>
  <c r="DP83" i="16"/>
  <c r="DO83" i="16"/>
  <c r="DM83" i="16"/>
  <c r="DF83" i="16"/>
  <c r="DE83" i="16"/>
  <c r="DC83" i="16"/>
  <c r="DA83" i="16"/>
  <c r="DB83" i="16"/>
  <c r="DD83" i="16"/>
  <c r="DG83" i="16"/>
  <c r="DH83" i="16"/>
  <c r="DI83" i="16"/>
  <c r="DJ83" i="16"/>
  <c r="DK83" i="16"/>
  <c r="DL83" i="16"/>
  <c r="DN83" i="16"/>
  <c r="DQ83" i="16"/>
  <c r="DR83" i="16"/>
  <c r="DO77" i="16"/>
  <c r="DK77" i="16"/>
  <c r="DP77" i="16"/>
  <c r="DM77" i="16"/>
  <c r="DB77" i="16"/>
  <c r="A45" i="16" a="1"/>
  <c r="DL77" i="16"/>
  <c r="DE77" i="16"/>
  <c r="DS77" i="16"/>
  <c r="DI77" i="16"/>
  <c r="DC77" i="16"/>
  <c r="DD77" i="16"/>
  <c r="DQ77" i="16"/>
  <c r="DN77" i="16"/>
  <c r="DF77" i="16"/>
  <c r="DA77" i="16"/>
  <c r="DH77" i="16"/>
  <c r="DJ77" i="16"/>
  <c r="DG77" i="16"/>
  <c r="DR77" i="16"/>
  <c r="E67" i="16"/>
  <c r="AZ78" i="16"/>
  <c r="BZ32" i="16" l="1"/>
  <c r="CA32" i="16" s="1"/>
  <c r="E3" i="17" s="1"/>
  <c r="ES67" i="16"/>
  <c r="ET67" i="16"/>
  <c r="DN67" i="16" s="1"/>
  <c r="EU67" i="16"/>
  <c r="EV67" i="16"/>
  <c r="EW67" i="16"/>
  <c r="EX67" i="16"/>
  <c r="EY67" i="16"/>
  <c r="EZ67" i="16"/>
  <c r="FA67" i="16"/>
  <c r="FB67" i="16"/>
  <c r="FC67" i="16"/>
  <c r="FD67" i="16"/>
  <c r="BY78" i="16"/>
  <c r="E77" i="16"/>
  <c r="E83" i="16"/>
  <c r="A45" i="16"/>
  <c r="BA45" i="16" s="1"/>
  <c r="BO62" i="16"/>
  <c r="DL62" i="16"/>
  <c r="BO58" i="16"/>
  <c r="DL58" i="16"/>
  <c r="BR63" i="16"/>
  <c r="DO63" i="16"/>
  <c r="BO61" i="16"/>
  <c r="DL61" i="16"/>
  <c r="CW47" i="16"/>
  <c r="CX48" i="16"/>
  <c r="CX65" i="16"/>
  <c r="CY65" i="16" s="1"/>
  <c r="CZ65" i="16" s="1"/>
  <c r="AF39" i="16"/>
  <c r="BE39" i="16" s="1"/>
  <c r="AE39" i="16"/>
  <c r="BD39" i="16" s="1"/>
  <c r="AG39" i="16"/>
  <c r="BF39" i="16" s="1"/>
  <c r="AH39" i="16"/>
  <c r="BG39" i="16" s="1"/>
  <c r="AI39" i="16"/>
  <c r="BH39" i="16" s="1"/>
  <c r="AJ39" i="16"/>
  <c r="BI39" i="16" s="1"/>
  <c r="AK39" i="16"/>
  <c r="BJ39" i="16" s="1"/>
  <c r="AL39" i="16"/>
  <c r="BK39" i="16" s="1"/>
  <c r="AM39" i="16"/>
  <c r="BL39" i="16" s="1"/>
  <c r="AN39" i="16"/>
  <c r="BM39" i="16" s="1"/>
  <c r="AO39" i="16"/>
  <c r="BN39" i="16" s="1"/>
  <c r="AP39" i="16"/>
  <c r="BO39" i="16" s="1"/>
  <c r="AQ39" i="16"/>
  <c r="BP39" i="16" s="1"/>
  <c r="AR39" i="16"/>
  <c r="BQ39" i="16" s="1"/>
  <c r="AS39" i="16"/>
  <c r="BR39" i="16" s="1"/>
  <c r="AT39" i="16"/>
  <c r="BS39" i="16" s="1"/>
  <c r="AU39" i="16"/>
  <c r="BT39" i="16" s="1"/>
  <c r="AV39" i="16"/>
  <c r="BU39" i="16" s="1"/>
  <c r="AW39" i="16"/>
  <c r="BV39" i="16" s="1"/>
  <c r="AX39" i="16"/>
  <c r="BW39" i="16" s="1"/>
  <c r="AY39" i="16"/>
  <c r="BX39" i="16" s="1"/>
  <c r="AE37" i="16"/>
  <c r="BD37" i="16" s="1"/>
  <c r="AF37" i="16"/>
  <c r="BE37" i="16" s="1"/>
  <c r="AG37" i="16"/>
  <c r="BF37" i="16" s="1"/>
  <c r="AH37" i="16"/>
  <c r="BG37" i="16" s="1"/>
  <c r="AI37" i="16"/>
  <c r="BH37" i="16" s="1"/>
  <c r="AJ37" i="16"/>
  <c r="BI37" i="16" s="1"/>
  <c r="AK37" i="16"/>
  <c r="BJ37" i="16" s="1"/>
  <c r="AL37" i="16"/>
  <c r="BK37" i="16" s="1"/>
  <c r="AM37" i="16"/>
  <c r="BL37" i="16" s="1"/>
  <c r="AN37" i="16"/>
  <c r="BM37" i="16" s="1"/>
  <c r="AO37" i="16"/>
  <c r="BN37" i="16" s="1"/>
  <c r="AP37" i="16"/>
  <c r="BO37" i="16" s="1"/>
  <c r="AQ37" i="16"/>
  <c r="BP37" i="16" s="1"/>
  <c r="AR37" i="16"/>
  <c r="BQ37" i="16" s="1"/>
  <c r="AS37" i="16"/>
  <c r="BR37" i="16" s="1"/>
  <c r="AT37" i="16"/>
  <c r="BS37" i="16" s="1"/>
  <c r="AU37" i="16"/>
  <c r="BT37" i="16" s="1"/>
  <c r="AV37" i="16"/>
  <c r="BU37" i="16" s="1"/>
  <c r="AW37" i="16"/>
  <c r="BV37" i="16" s="1"/>
  <c r="AX37" i="16"/>
  <c r="BW37" i="16" s="1"/>
  <c r="AY37" i="16"/>
  <c r="BX37" i="16" s="1"/>
  <c r="CY78" i="16"/>
  <c r="CZ32" i="16"/>
  <c r="BC32" i="16" s="1"/>
  <c r="BB32" i="16"/>
  <c r="AG43" i="16"/>
  <c r="BF43" i="16" s="1"/>
  <c r="AF43" i="16"/>
  <c r="BE43" i="16" s="1"/>
  <c r="AE43" i="16"/>
  <c r="BD43" i="16" s="1"/>
  <c r="AH43" i="16"/>
  <c r="BG43" i="16" s="1"/>
  <c r="AI43" i="16"/>
  <c r="BH43" i="16" s="1"/>
  <c r="AJ43" i="16"/>
  <c r="BI43" i="16" s="1"/>
  <c r="AK43" i="16"/>
  <c r="BJ43" i="16" s="1"/>
  <c r="AL43" i="16"/>
  <c r="BK43" i="16" s="1"/>
  <c r="AM43" i="16"/>
  <c r="BL43" i="16" s="1"/>
  <c r="AN43" i="16"/>
  <c r="BM43" i="16" s="1"/>
  <c r="AO43" i="16"/>
  <c r="BN43" i="16" s="1"/>
  <c r="AP43" i="16"/>
  <c r="BO43" i="16" s="1"/>
  <c r="AQ43" i="16"/>
  <c r="BP43" i="16" s="1"/>
  <c r="AR43" i="16"/>
  <c r="BQ43" i="16" s="1"/>
  <c r="AS43" i="16"/>
  <c r="BR43" i="16" s="1"/>
  <c r="AT43" i="16"/>
  <c r="BS43" i="16" s="1"/>
  <c r="AU43" i="16"/>
  <c r="BT43" i="16" s="1"/>
  <c r="AV43" i="16"/>
  <c r="BU43" i="16" s="1"/>
  <c r="AW43" i="16"/>
  <c r="BV43" i="16" s="1"/>
  <c r="AX43" i="16"/>
  <c r="BW43" i="16" s="1"/>
  <c r="AY43" i="16"/>
  <c r="BX43" i="16" s="1"/>
  <c r="AZ43" i="16"/>
  <c r="BY43" i="16" s="1"/>
  <c r="CX73" i="16"/>
  <c r="CY73" i="16" s="1"/>
  <c r="CZ73" i="16" s="1"/>
  <c r="AZ37" i="16"/>
  <c r="BY37" i="16" s="1"/>
  <c r="CW72" i="16"/>
  <c r="CX42" i="16"/>
  <c r="CY39" i="16"/>
  <c r="BA39" i="16"/>
  <c r="CW58" i="16"/>
  <c r="CX77" i="16"/>
  <c r="AP66" i="16"/>
  <c r="EG66" i="16"/>
  <c r="CW80" i="16"/>
  <c r="EG60" i="16"/>
  <c r="AP60" i="16" s="1"/>
  <c r="FE68" i="16"/>
  <c r="BA51" i="16"/>
  <c r="BB51" i="16" s="1"/>
  <c r="BC51" i="16" s="1"/>
  <c r="BY51" i="16"/>
  <c r="BZ51" i="16" s="1"/>
  <c r="CA51" i="16" s="1"/>
  <c r="G4" i="17" s="1"/>
  <c r="CX64" i="16"/>
  <c r="CY64" i="16" s="1"/>
  <c r="CZ64" i="16" s="1"/>
  <c r="CW75" i="16"/>
  <c r="BZ34" i="16"/>
  <c r="CA34" i="16" s="1"/>
  <c r="E5" i="17" s="1"/>
  <c r="BA37" i="16"/>
  <c r="CY37" i="16"/>
  <c r="CY45" i="16"/>
  <c r="CW79" i="16"/>
  <c r="CX44" i="16"/>
  <c r="CX33" i="16"/>
  <c r="A33" i="16"/>
  <c r="AZ33" i="16" s="1"/>
  <c r="BY33" i="16" s="1"/>
  <c r="B33" i="16"/>
  <c r="CX70" i="16"/>
  <c r="CY70" i="16" s="1"/>
  <c r="CZ70" i="16" s="1"/>
  <c r="CW84" i="16"/>
  <c r="FE69" i="16"/>
  <c r="FF68" i="16"/>
  <c r="EJ68" i="16"/>
  <c r="AS68" i="16" s="1"/>
  <c r="BR68" i="16" s="1"/>
  <c r="CW82" i="16"/>
  <c r="CZ43" i="16"/>
  <c r="BC43" i="16" s="1"/>
  <c r="BB43" i="16"/>
  <c r="CX36" i="16"/>
  <c r="AZ36" i="16"/>
  <c r="BY36" i="16" s="1"/>
  <c r="B36" i="16"/>
  <c r="A36" i="16"/>
  <c r="BO65" i="16"/>
  <c r="DL65" i="16"/>
  <c r="CZ34" i="16"/>
  <c r="BC34" i="16" s="1"/>
  <c r="BB34" i="16"/>
  <c r="CW76" i="16"/>
  <c r="CW59" i="16"/>
  <c r="CX71" i="16"/>
  <c r="CY71" i="16" s="1"/>
  <c r="CZ71" i="16" s="1"/>
  <c r="CX60" i="16"/>
  <c r="CY60" i="16" s="1"/>
  <c r="CZ60" i="16" s="1"/>
  <c r="CW41" i="16"/>
  <c r="EJ69" i="16"/>
  <c r="AS69" i="16" s="1"/>
  <c r="BR69" i="16" s="1"/>
  <c r="FF69" i="16"/>
  <c r="BO59" i="16"/>
  <c r="DL59" i="16"/>
  <c r="BO64" i="16"/>
  <c r="DL64" i="16"/>
  <c r="CX83" i="16"/>
  <c r="CW40" i="16"/>
  <c r="CW35" i="16"/>
  <c r="CW62" i="16"/>
  <c r="CX74" i="16"/>
  <c r="CY74" i="16" s="1"/>
  <c r="CZ74" i="16" s="1"/>
  <c r="CX31" i="16"/>
  <c r="B31" i="16"/>
  <c r="A31" i="16"/>
  <c r="CX66" i="16"/>
  <c r="CY66" i="16" s="1"/>
  <c r="CZ66" i="16" s="1"/>
  <c r="CX63" i="16"/>
  <c r="CY63" i="16" s="1"/>
  <c r="CZ63" i="16" s="1"/>
  <c r="CX38" i="16"/>
  <c r="AZ38" i="16"/>
  <c r="BY38" i="16" s="1"/>
  <c r="B38" i="16"/>
  <c r="A38" i="16"/>
  <c r="BY50" i="16"/>
  <c r="BZ50" i="16" s="1"/>
  <c r="CA50" i="16" s="1"/>
  <c r="G3" i="17" s="1"/>
  <c r="BA50" i="16"/>
  <c r="BB50" i="16" s="1"/>
  <c r="BC50" i="16" s="1"/>
  <c r="DS79" i="16"/>
  <c r="DQ79" i="16"/>
  <c r="DO79" i="16"/>
  <c r="DM79" i="16"/>
  <c r="DL79" i="16"/>
  <c r="DK79" i="16"/>
  <c r="DJ79" i="16"/>
  <c r="DG79" i="16"/>
  <c r="DC79" i="16"/>
  <c r="DA79" i="16"/>
  <c r="DB79" i="16"/>
  <c r="DD79" i="16"/>
  <c r="DE79" i="16"/>
  <c r="DF79" i="16"/>
  <c r="DH79" i="16"/>
  <c r="DI79" i="16"/>
  <c r="DN79" i="16"/>
  <c r="DP79" i="16"/>
  <c r="DR79" i="16"/>
  <c r="DS84" i="16"/>
  <c r="DQ84" i="16"/>
  <c r="DO84" i="16"/>
  <c r="DM84" i="16"/>
  <c r="DL84" i="16"/>
  <c r="DK84" i="16"/>
  <c r="DI84" i="16"/>
  <c r="DG84" i="16"/>
  <c r="DC84" i="16"/>
  <c r="DB84" i="16"/>
  <c r="DA84" i="16"/>
  <c r="DD84" i="16"/>
  <c r="DE84" i="16"/>
  <c r="DF84" i="16"/>
  <c r="DH84" i="16"/>
  <c r="DJ84" i="16"/>
  <c r="DN84" i="16"/>
  <c r="DP84" i="16"/>
  <c r="DR84" i="16"/>
  <c r="DS82" i="16"/>
  <c r="DQ82" i="16"/>
  <c r="DP82" i="16"/>
  <c r="DO82" i="16"/>
  <c r="DL82" i="16"/>
  <c r="DK82" i="16"/>
  <c r="DG82" i="16"/>
  <c r="DE82" i="16"/>
  <c r="DD82" i="16"/>
  <c r="DC82" i="16"/>
  <c r="DB82" i="16"/>
  <c r="DA82" i="16"/>
  <c r="DF82" i="16"/>
  <c r="DH82" i="16"/>
  <c r="DI82" i="16"/>
  <c r="DJ82" i="16"/>
  <c r="DM82" i="16"/>
  <c r="DN82" i="16"/>
  <c r="DR82" i="16"/>
  <c r="DS80" i="16"/>
  <c r="DR80" i="16"/>
  <c r="DQ80" i="16"/>
  <c r="DP80" i="16"/>
  <c r="DO80" i="16"/>
  <c r="DN80" i="16"/>
  <c r="DM80" i="16"/>
  <c r="DK80" i="16"/>
  <c r="DJ80" i="16"/>
  <c r="DI80" i="16"/>
  <c r="DG80" i="16"/>
  <c r="DC80" i="16"/>
  <c r="DA80" i="16"/>
  <c r="DB80" i="16"/>
  <c r="DD80" i="16"/>
  <c r="DE80" i="16"/>
  <c r="DF80" i="16"/>
  <c r="DH80" i="16"/>
  <c r="DL80" i="16"/>
  <c r="AT81" i="16"/>
  <c r="DL76" i="16"/>
  <c r="AW78" i="16"/>
  <c r="AP78" i="16"/>
  <c r="DF76" i="16"/>
  <c r="AY78" i="16"/>
  <c r="DO76" i="16"/>
  <c r="A42" i="16" a="1"/>
  <c r="AK78" i="16"/>
  <c r="E71" i="16"/>
  <c r="AR78" i="16"/>
  <c r="BC81" i="16"/>
  <c r="BB81" i="16"/>
  <c r="DQ76" i="16"/>
  <c r="E73" i="16"/>
  <c r="DH76" i="16"/>
  <c r="AQ81" i="16"/>
  <c r="AX81" i="16"/>
  <c r="AS78" i="16"/>
  <c r="DN76" i="16"/>
  <c r="AI78" i="16"/>
  <c r="A48" i="16" a="1"/>
  <c r="AN78" i="16"/>
  <c r="DA76" i="16"/>
  <c r="AF78" i="16"/>
  <c r="AY81" i="16"/>
  <c r="DS76" i="16"/>
  <c r="AS81" i="16"/>
  <c r="DB76" i="16"/>
  <c r="AT78" i="16"/>
  <c r="AV81" i="16"/>
  <c r="DR76" i="16"/>
  <c r="AH78" i="16"/>
  <c r="AZ83" i="16"/>
  <c r="AR81" i="16"/>
  <c r="DJ76" i="16"/>
  <c r="AK81" i="16"/>
  <c r="AG78" i="16"/>
  <c r="DC76" i="16"/>
  <c r="AP81" i="16"/>
  <c r="E74" i="16"/>
  <c r="AN81" i="16"/>
  <c r="AL78" i="16"/>
  <c r="DG76" i="16"/>
  <c r="AM81" i="16"/>
  <c r="AO81" i="16"/>
  <c r="AX78" i="16"/>
  <c r="DI76" i="16"/>
  <c r="AZ81" i="16"/>
  <c r="AO78" i="16"/>
  <c r="DM76" i="16"/>
  <c r="AM78" i="16"/>
  <c r="AJ78" i="16"/>
  <c r="DP76" i="16"/>
  <c r="BA78" i="16"/>
  <c r="AQ78" i="16"/>
  <c r="A44" i="16" a="1"/>
  <c r="AL81" i="16"/>
  <c r="DE76" i="16"/>
  <c r="AV78" i="16"/>
  <c r="AZ77" i="16"/>
  <c r="DK76" i="16"/>
  <c r="AU78" i="16"/>
  <c r="AU81" i="16"/>
  <c r="AW81" i="16"/>
  <c r="E70" i="16"/>
  <c r="DD76" i="16"/>
  <c r="AE78" i="16"/>
  <c r="BA81" i="16"/>
  <c r="BY83" i="16" l="1"/>
  <c r="BN78" i="16"/>
  <c r="BF78" i="16"/>
  <c r="E80" i="16"/>
  <c r="BY81" i="16"/>
  <c r="BQ81" i="16"/>
  <c r="BU78" i="16"/>
  <c r="BM78" i="16"/>
  <c r="BE78" i="16"/>
  <c r="E82" i="16"/>
  <c r="E84" i="16"/>
  <c r="BX81" i="16"/>
  <c r="BP81" i="16"/>
  <c r="BT78" i="16"/>
  <c r="BL78" i="16"/>
  <c r="BD78" i="16"/>
  <c r="BZ78" i="16" s="1"/>
  <c r="CA78" i="16" s="1"/>
  <c r="A42" i="16"/>
  <c r="BA42" i="16" s="1"/>
  <c r="BR81" i="16"/>
  <c r="BW81" i="16"/>
  <c r="BO81" i="16"/>
  <c r="BS78" i="16"/>
  <c r="BK78" i="16"/>
  <c r="BY77" i="16"/>
  <c r="BV81" i="16"/>
  <c r="BN81" i="16"/>
  <c r="BR78" i="16"/>
  <c r="BJ78" i="16"/>
  <c r="A44" i="16"/>
  <c r="BA44" i="16" s="1"/>
  <c r="A48" i="16"/>
  <c r="BA48" i="16" s="1"/>
  <c r="BQ78" i="16"/>
  <c r="BI78" i="16"/>
  <c r="E76" i="16"/>
  <c r="ES73" i="16"/>
  <c r="ET73" i="16"/>
  <c r="DN73" i="16" s="1"/>
  <c r="EU73" i="16"/>
  <c r="EV73" i="16"/>
  <c r="EW73" i="16"/>
  <c r="EX73" i="16"/>
  <c r="EY73" i="16"/>
  <c r="EZ73" i="16"/>
  <c r="FA73" i="16"/>
  <c r="FB73" i="16"/>
  <c r="FC73" i="16"/>
  <c r="FD73" i="16"/>
  <c r="BJ81" i="16"/>
  <c r="BM81" i="16"/>
  <c r="BT81" i="16"/>
  <c r="BL81" i="16"/>
  <c r="ES74" i="16"/>
  <c r="ET74" i="16"/>
  <c r="DN74" i="16" s="1"/>
  <c r="EU74" i="16"/>
  <c r="EV74" i="16"/>
  <c r="EW74" i="16"/>
  <c r="EX74" i="16"/>
  <c r="EY74" i="16"/>
  <c r="EZ74" i="16"/>
  <c r="FA74" i="16"/>
  <c r="FB74" i="16"/>
  <c r="FC74" i="16"/>
  <c r="FD74" i="16"/>
  <c r="BX78" i="16"/>
  <c r="BP78" i="16"/>
  <c r="BH78" i="16"/>
  <c r="ES71" i="16"/>
  <c r="ET71" i="16"/>
  <c r="DN71" i="16" s="1"/>
  <c r="EU71" i="16"/>
  <c r="EV71" i="16"/>
  <c r="EW71" i="16"/>
  <c r="EX71" i="16"/>
  <c r="EY71" i="16"/>
  <c r="EZ71" i="16"/>
  <c r="FA71" i="16"/>
  <c r="FB71" i="16"/>
  <c r="FC71" i="16"/>
  <c r="FD71" i="16"/>
  <c r="ES70" i="16"/>
  <c r="ET70" i="16"/>
  <c r="DN70" i="16" s="1"/>
  <c r="EU70" i="16"/>
  <c r="EV70" i="16"/>
  <c r="EW70" i="16"/>
  <c r="EX70" i="16"/>
  <c r="EY70" i="16"/>
  <c r="EZ70" i="16"/>
  <c r="FA70" i="16"/>
  <c r="FB70" i="16"/>
  <c r="FC70" i="16"/>
  <c r="FD70" i="16"/>
  <c r="E79" i="16"/>
  <c r="BV78" i="16"/>
  <c r="BU81" i="16"/>
  <c r="BS81" i="16"/>
  <c r="BK81" i="16"/>
  <c r="BW78" i="16"/>
  <c r="BO78" i="16"/>
  <c r="BG78" i="16"/>
  <c r="BO60" i="16"/>
  <c r="DL60" i="16"/>
  <c r="AF31" i="16"/>
  <c r="BE31" i="16" s="1"/>
  <c r="AE31" i="16"/>
  <c r="BD31" i="16" s="1"/>
  <c r="AG31" i="16"/>
  <c r="BF31" i="16" s="1"/>
  <c r="AH31" i="16"/>
  <c r="BG31" i="16" s="1"/>
  <c r="AI31" i="16"/>
  <c r="BH31" i="16" s="1"/>
  <c r="AJ31" i="16"/>
  <c r="BI31" i="16" s="1"/>
  <c r="AK31" i="16"/>
  <c r="BJ31" i="16" s="1"/>
  <c r="AL31" i="16"/>
  <c r="BK31" i="16" s="1"/>
  <c r="AM31" i="16"/>
  <c r="BL31" i="16" s="1"/>
  <c r="AN31" i="16"/>
  <c r="BM31" i="16" s="1"/>
  <c r="AO31" i="16"/>
  <c r="BN31" i="16" s="1"/>
  <c r="AP31" i="16"/>
  <c r="BO31" i="16" s="1"/>
  <c r="AQ31" i="16"/>
  <c r="BP31" i="16" s="1"/>
  <c r="AR31" i="16"/>
  <c r="BQ31" i="16" s="1"/>
  <c r="AS31" i="16"/>
  <c r="BR31" i="16" s="1"/>
  <c r="AT31" i="16"/>
  <c r="BS31" i="16" s="1"/>
  <c r="AU31" i="16"/>
  <c r="BT31" i="16" s="1"/>
  <c r="AV31" i="16"/>
  <c r="BU31" i="16" s="1"/>
  <c r="AW31" i="16"/>
  <c r="BV31" i="16" s="1"/>
  <c r="AX31" i="16"/>
  <c r="BW31" i="16" s="1"/>
  <c r="AY31" i="16"/>
  <c r="BX31" i="16" s="1"/>
  <c r="CX41" i="16"/>
  <c r="CX80" i="16"/>
  <c r="BA38" i="16"/>
  <c r="CY38" i="16"/>
  <c r="CY83" i="16"/>
  <c r="CX59" i="16"/>
  <c r="CY59" i="16" s="1"/>
  <c r="CZ59" i="16" s="1"/>
  <c r="CX82" i="16"/>
  <c r="CX84" i="16"/>
  <c r="CZ39" i="16"/>
  <c r="BC39" i="16" s="1"/>
  <c r="BB39" i="16"/>
  <c r="CX72" i="16"/>
  <c r="CY72" i="16" s="1"/>
  <c r="CZ72" i="16" s="1"/>
  <c r="BZ37" i="16"/>
  <c r="CA37" i="16" s="1"/>
  <c r="E8" i="17" s="1"/>
  <c r="AK45" i="16"/>
  <c r="BJ45" i="16" s="1"/>
  <c r="AL45" i="16"/>
  <c r="BK45" i="16" s="1"/>
  <c r="AM45" i="16"/>
  <c r="BL45" i="16" s="1"/>
  <c r="AN45" i="16"/>
  <c r="BM45" i="16" s="1"/>
  <c r="AO45" i="16"/>
  <c r="BN45" i="16" s="1"/>
  <c r="AP45" i="16"/>
  <c r="BO45" i="16" s="1"/>
  <c r="AQ45" i="16"/>
  <c r="BP45" i="16" s="1"/>
  <c r="AR45" i="16"/>
  <c r="BQ45" i="16" s="1"/>
  <c r="AS45" i="16"/>
  <c r="BR45" i="16" s="1"/>
  <c r="AT45" i="16"/>
  <c r="BS45" i="16" s="1"/>
  <c r="AU45" i="16"/>
  <c r="BT45" i="16" s="1"/>
  <c r="AV45" i="16"/>
  <c r="BU45" i="16" s="1"/>
  <c r="AW45" i="16"/>
  <c r="BV45" i="16" s="1"/>
  <c r="AX45" i="16"/>
  <c r="BW45" i="16" s="1"/>
  <c r="AY45" i="16"/>
  <c r="BX45" i="16" s="1"/>
  <c r="AZ45" i="16"/>
  <c r="BY45" i="16" s="1"/>
  <c r="CY31" i="16"/>
  <c r="BA31" i="16"/>
  <c r="CX62" i="16"/>
  <c r="CY62" i="16" s="1"/>
  <c r="CZ62" i="16" s="1"/>
  <c r="EH64" i="16"/>
  <c r="AQ64" i="16" s="1"/>
  <c r="AK36" i="16"/>
  <c r="BJ36" i="16" s="1"/>
  <c r="AL36" i="16"/>
  <c r="BK36" i="16" s="1"/>
  <c r="AM36" i="16"/>
  <c r="BL36" i="16" s="1"/>
  <c r="AN36" i="16"/>
  <c r="BM36" i="16" s="1"/>
  <c r="AO36" i="16"/>
  <c r="BN36" i="16" s="1"/>
  <c r="AP36" i="16"/>
  <c r="BO36" i="16" s="1"/>
  <c r="AQ36" i="16"/>
  <c r="BP36" i="16" s="1"/>
  <c r="AR36" i="16"/>
  <c r="BQ36" i="16" s="1"/>
  <c r="AS36" i="16"/>
  <c r="BR36" i="16" s="1"/>
  <c r="AT36" i="16"/>
  <c r="BS36" i="16" s="1"/>
  <c r="AU36" i="16"/>
  <c r="BT36" i="16" s="1"/>
  <c r="AV36" i="16"/>
  <c r="BU36" i="16" s="1"/>
  <c r="AW36" i="16"/>
  <c r="BV36" i="16" s="1"/>
  <c r="AX36" i="16"/>
  <c r="BW36" i="16" s="1"/>
  <c r="AY36" i="16"/>
  <c r="BX36" i="16" s="1"/>
  <c r="CY33" i="16"/>
  <c r="BA33" i="16"/>
  <c r="CZ37" i="16"/>
  <c r="BC37" i="16" s="1"/>
  <c r="BB37" i="16"/>
  <c r="DO68" i="16"/>
  <c r="BO66" i="16"/>
  <c r="DL66" i="16"/>
  <c r="EK63" i="16"/>
  <c r="AT63" i="16" s="1"/>
  <c r="AE33" i="16"/>
  <c r="BD33" i="16" s="1"/>
  <c r="AF33" i="16"/>
  <c r="BE33" i="16" s="1"/>
  <c r="AG33" i="16"/>
  <c r="BF33" i="16" s="1"/>
  <c r="AH33" i="16"/>
  <c r="BG33" i="16" s="1"/>
  <c r="AI33" i="16"/>
  <c r="BH33" i="16" s="1"/>
  <c r="AJ33" i="16"/>
  <c r="BI33" i="16" s="1"/>
  <c r="AK33" i="16"/>
  <c r="BJ33" i="16" s="1"/>
  <c r="AL33" i="16"/>
  <c r="BK33" i="16" s="1"/>
  <c r="AM33" i="16"/>
  <c r="BL33" i="16" s="1"/>
  <c r="AN33" i="16"/>
  <c r="BM33" i="16" s="1"/>
  <c r="AO33" i="16"/>
  <c r="BN33" i="16" s="1"/>
  <c r="AP33" i="16"/>
  <c r="BO33" i="16" s="1"/>
  <c r="AQ33" i="16"/>
  <c r="BP33" i="16" s="1"/>
  <c r="AR33" i="16"/>
  <c r="BQ33" i="16" s="1"/>
  <c r="AS33" i="16"/>
  <c r="BR33" i="16" s="1"/>
  <c r="AT33" i="16"/>
  <c r="BS33" i="16" s="1"/>
  <c r="AU33" i="16"/>
  <c r="BT33" i="16" s="1"/>
  <c r="AV33" i="16"/>
  <c r="BU33" i="16" s="1"/>
  <c r="AW33" i="16"/>
  <c r="BV33" i="16" s="1"/>
  <c r="AX33" i="16"/>
  <c r="BW33" i="16" s="1"/>
  <c r="AY33" i="16"/>
  <c r="BX33" i="16" s="1"/>
  <c r="CZ45" i="16"/>
  <c r="BC45" i="16" s="1"/>
  <c r="BB45" i="16"/>
  <c r="EH61" i="16"/>
  <c r="AQ61" i="16" s="1"/>
  <c r="AZ31" i="16"/>
  <c r="BY31" i="16" s="1"/>
  <c r="CY42" i="16"/>
  <c r="CZ78" i="16"/>
  <c r="EH59" i="16"/>
  <c r="AQ59" i="16" s="1"/>
  <c r="CX75" i="16"/>
  <c r="CY75" i="16" s="1"/>
  <c r="CZ75" i="16" s="1"/>
  <c r="CY77" i="16"/>
  <c r="BZ43" i="16"/>
  <c r="CA43" i="16" s="1"/>
  <c r="F5" i="17" s="1"/>
  <c r="EH58" i="16"/>
  <c r="AQ58" i="16" s="1"/>
  <c r="CX35" i="16"/>
  <c r="A35" i="16"/>
  <c r="B35" i="16"/>
  <c r="CX76" i="16"/>
  <c r="CY36" i="16"/>
  <c r="BA36" i="16"/>
  <c r="CY44" i="16"/>
  <c r="CY48" i="16"/>
  <c r="FE67" i="16"/>
  <c r="AQ65" i="16"/>
  <c r="EH65" i="16"/>
  <c r="AE38" i="16"/>
  <c r="BD38" i="16" s="1"/>
  <c r="AF38" i="16"/>
  <c r="BE38" i="16" s="1"/>
  <c r="AG38" i="16"/>
  <c r="BF38" i="16" s="1"/>
  <c r="AH38" i="16"/>
  <c r="BG38" i="16" s="1"/>
  <c r="AI38" i="16"/>
  <c r="BH38" i="16" s="1"/>
  <c r="AJ38" i="16"/>
  <c r="BI38" i="16" s="1"/>
  <c r="AK38" i="16"/>
  <c r="BJ38" i="16" s="1"/>
  <c r="AL38" i="16"/>
  <c r="BK38" i="16" s="1"/>
  <c r="AM38" i="16"/>
  <c r="BL38" i="16" s="1"/>
  <c r="AN38" i="16"/>
  <c r="BM38" i="16" s="1"/>
  <c r="AO38" i="16"/>
  <c r="BN38" i="16" s="1"/>
  <c r="AP38" i="16"/>
  <c r="BO38" i="16" s="1"/>
  <c r="AQ38" i="16"/>
  <c r="BP38" i="16" s="1"/>
  <c r="AR38" i="16"/>
  <c r="BQ38" i="16" s="1"/>
  <c r="AS38" i="16"/>
  <c r="BR38" i="16" s="1"/>
  <c r="AT38" i="16"/>
  <c r="BS38" i="16" s="1"/>
  <c r="AU38" i="16"/>
  <c r="BT38" i="16" s="1"/>
  <c r="AV38" i="16"/>
  <c r="BU38" i="16" s="1"/>
  <c r="AW38" i="16"/>
  <c r="BV38" i="16" s="1"/>
  <c r="AX38" i="16"/>
  <c r="BW38" i="16" s="1"/>
  <c r="AY38" i="16"/>
  <c r="BX38" i="16" s="1"/>
  <c r="CX40" i="16"/>
  <c r="DO69" i="16"/>
  <c r="CX79" i="16"/>
  <c r="CX58" i="16"/>
  <c r="CY58" i="16" s="1"/>
  <c r="CZ58" i="16" s="1"/>
  <c r="BZ39" i="16"/>
  <c r="CA39" i="16" s="1"/>
  <c r="E10" i="17" s="1"/>
  <c r="EH62" i="16"/>
  <c r="AQ62" i="16" s="1"/>
  <c r="FF67" i="16"/>
  <c r="EJ67" i="16"/>
  <c r="AS67" i="16" s="1"/>
  <c r="CX47" i="16"/>
  <c r="AX77" i="16"/>
  <c r="AE77" i="16"/>
  <c r="BA83" i="16"/>
  <c r="AT83" i="16"/>
  <c r="A40" i="16" a="1"/>
  <c r="AQ83" i="16"/>
  <c r="AJ83" i="16"/>
  <c r="AU83" i="16"/>
  <c r="E72" i="16"/>
  <c r="AQ77" i="16"/>
  <c r="BA77" i="16"/>
  <c r="AV77" i="16"/>
  <c r="AZ80" i="16"/>
  <c r="AH83" i="16"/>
  <c r="AF77" i="16"/>
  <c r="AI83" i="16"/>
  <c r="AG77" i="16"/>
  <c r="AN83" i="16"/>
  <c r="AL83" i="16"/>
  <c r="AO83" i="16"/>
  <c r="AN77" i="16"/>
  <c r="AZ82" i="16"/>
  <c r="AL77" i="16"/>
  <c r="AK83" i="16"/>
  <c r="AE83" i="16"/>
  <c r="AS83" i="16"/>
  <c r="AX83" i="16"/>
  <c r="AP77" i="16"/>
  <c r="AU77" i="16"/>
  <c r="AP83" i="16"/>
  <c r="E75" i="16"/>
  <c r="A41" i="16" a="1"/>
  <c r="AM83" i="16"/>
  <c r="AJ77" i="16"/>
  <c r="AY83" i="16"/>
  <c r="AT77" i="16"/>
  <c r="AM77" i="16"/>
  <c r="BB78" i="16"/>
  <c r="AY77" i="16"/>
  <c r="AS77" i="16"/>
  <c r="AR83" i="16"/>
  <c r="AV83" i="16"/>
  <c r="AI77" i="16"/>
  <c r="AW77" i="16"/>
  <c r="AF83" i="16"/>
  <c r="AW83" i="16"/>
  <c r="AK77" i="16"/>
  <c r="AH77" i="16"/>
  <c r="AO77" i="16"/>
  <c r="AG83" i="16"/>
  <c r="AZ84" i="16"/>
  <c r="AR77" i="16"/>
  <c r="A47" i="16" a="1"/>
  <c r="AZ79" i="16"/>
  <c r="BC78" i="16"/>
  <c r="AZ76" i="16"/>
  <c r="BZ36" i="16" l="1"/>
  <c r="CA36" i="16" s="1"/>
  <c r="E7" i="17" s="1"/>
  <c r="BY76" i="16"/>
  <c r="BY79" i="16"/>
  <c r="BF77" i="16"/>
  <c r="A41" i="16"/>
  <c r="BA41" i="16" s="1"/>
  <c r="BS77" i="16"/>
  <c r="BK77" i="16"/>
  <c r="EY72" i="16"/>
  <c r="EZ72" i="16"/>
  <c r="DT72" i="16" s="1"/>
  <c r="FA72" i="16"/>
  <c r="FB72" i="16"/>
  <c r="FC72" i="16"/>
  <c r="FD72" i="16"/>
  <c r="FE72" i="16"/>
  <c r="FF72" i="16"/>
  <c r="FG72" i="16"/>
  <c r="FH72" i="16"/>
  <c r="FI72" i="16"/>
  <c r="FJ72" i="16"/>
  <c r="BW83" i="16"/>
  <c r="BO83" i="16"/>
  <c r="BG83" i="16"/>
  <c r="BY82" i="16"/>
  <c r="A47" i="16"/>
  <c r="BA47" i="16" s="1"/>
  <c r="BR83" i="16"/>
  <c r="BD77" i="16"/>
  <c r="BI83" i="16"/>
  <c r="BP83" i="16"/>
  <c r="BR77" i="16"/>
  <c r="BJ77" i="16"/>
  <c r="BV83" i="16"/>
  <c r="BN83" i="16"/>
  <c r="BF83" i="16"/>
  <c r="BN77" i="16"/>
  <c r="BY84" i="16"/>
  <c r="BQ77" i="16"/>
  <c r="BI77" i="16"/>
  <c r="BU83" i="16"/>
  <c r="BM83" i="16"/>
  <c r="BE83" i="16"/>
  <c r="BY80" i="16"/>
  <c r="BV77" i="16"/>
  <c r="BU77" i="16"/>
  <c r="BT77" i="16"/>
  <c r="BL77" i="16"/>
  <c r="BE77" i="16"/>
  <c r="BX83" i="16"/>
  <c r="BH83" i="16"/>
  <c r="ES75" i="16"/>
  <c r="ET75" i="16"/>
  <c r="DN75" i="16" s="1"/>
  <c r="EU75" i="16"/>
  <c r="EV75" i="16"/>
  <c r="EW75" i="16"/>
  <c r="EX75" i="16"/>
  <c r="EY75" i="16"/>
  <c r="EZ75" i="16"/>
  <c r="FA75" i="16"/>
  <c r="FB75" i="16"/>
  <c r="FC75" i="16"/>
  <c r="FD75" i="16"/>
  <c r="BX77" i="16"/>
  <c r="BP77" i="16"/>
  <c r="BH77" i="16"/>
  <c r="BT83" i="16"/>
  <c r="BL83" i="16"/>
  <c r="BD83" i="16"/>
  <c r="BJ83" i="16"/>
  <c r="BM77" i="16"/>
  <c r="BQ83" i="16"/>
  <c r="A40" i="16"/>
  <c r="BW77" i="16"/>
  <c r="BO77" i="16"/>
  <c r="BG77" i="16"/>
  <c r="BS83" i="16"/>
  <c r="BK83" i="16"/>
  <c r="BP58" i="16"/>
  <c r="DM58" i="16"/>
  <c r="BP64" i="16"/>
  <c r="DM64" i="16"/>
  <c r="BP61" i="16"/>
  <c r="DM61" i="16"/>
  <c r="BS63" i="16"/>
  <c r="DP63" i="16"/>
  <c r="BP59" i="16"/>
  <c r="DM59" i="16"/>
  <c r="BR67" i="16"/>
  <c r="DO67" i="16"/>
  <c r="CZ33" i="16"/>
  <c r="BC33" i="16" s="1"/>
  <c r="BB33" i="16"/>
  <c r="FF70" i="16"/>
  <c r="EJ70" i="16"/>
  <c r="AS70" i="16" s="1"/>
  <c r="BZ81" i="16"/>
  <c r="CA81" i="16" s="1"/>
  <c r="AE48" i="16"/>
  <c r="BD48" i="16" s="1"/>
  <c r="AF48" i="16"/>
  <c r="BE48" i="16" s="1"/>
  <c r="AG48" i="16"/>
  <c r="BF48" i="16" s="1"/>
  <c r="AH48" i="16"/>
  <c r="BG48" i="16" s="1"/>
  <c r="AI48" i="16"/>
  <c r="BH48" i="16" s="1"/>
  <c r="AJ48" i="16"/>
  <c r="BI48" i="16" s="1"/>
  <c r="AK48" i="16"/>
  <c r="BJ48" i="16" s="1"/>
  <c r="AL48" i="16"/>
  <c r="BK48" i="16" s="1"/>
  <c r="AM48" i="16"/>
  <c r="BL48" i="16" s="1"/>
  <c r="AN48" i="16"/>
  <c r="BM48" i="16" s="1"/>
  <c r="AO48" i="16"/>
  <c r="BN48" i="16" s="1"/>
  <c r="AP48" i="16"/>
  <c r="BO48" i="16" s="1"/>
  <c r="AQ48" i="16"/>
  <c r="BP48" i="16" s="1"/>
  <c r="AR48" i="16"/>
  <c r="BQ48" i="16" s="1"/>
  <c r="AS48" i="16"/>
  <c r="BR48" i="16" s="1"/>
  <c r="AT48" i="16"/>
  <c r="BS48" i="16" s="1"/>
  <c r="AU48" i="16"/>
  <c r="BT48" i="16" s="1"/>
  <c r="AV48" i="16"/>
  <c r="BU48" i="16" s="1"/>
  <c r="AW48" i="16"/>
  <c r="BV48" i="16" s="1"/>
  <c r="AX48" i="16"/>
  <c r="BW48" i="16" s="1"/>
  <c r="AY48" i="16"/>
  <c r="BX48" i="16" s="1"/>
  <c r="AZ48" i="16"/>
  <c r="BY48" i="16" s="1"/>
  <c r="CZ31" i="16"/>
  <c r="BC31" i="16" s="1"/>
  <c r="BB31" i="16"/>
  <c r="CY41" i="16"/>
  <c r="CY84" i="16"/>
  <c r="FE70" i="16"/>
  <c r="CY79" i="16"/>
  <c r="CZ48" i="16"/>
  <c r="BC48" i="16" s="1"/>
  <c r="BB48" i="16"/>
  <c r="AE35" i="16"/>
  <c r="BD35" i="16" s="1"/>
  <c r="AF35" i="16"/>
  <c r="BE35" i="16" s="1"/>
  <c r="AG35" i="16"/>
  <c r="BF35" i="16" s="1"/>
  <c r="AH35" i="16"/>
  <c r="BG35" i="16" s="1"/>
  <c r="AI35" i="16"/>
  <c r="BH35" i="16" s="1"/>
  <c r="AJ35" i="16"/>
  <c r="BI35" i="16" s="1"/>
  <c r="AK35" i="16"/>
  <c r="BJ35" i="16" s="1"/>
  <c r="AL35" i="16"/>
  <c r="BK35" i="16" s="1"/>
  <c r="AM35" i="16"/>
  <c r="BL35" i="16" s="1"/>
  <c r="AN35" i="16"/>
  <c r="BM35" i="16" s="1"/>
  <c r="AO35" i="16"/>
  <c r="BN35" i="16" s="1"/>
  <c r="AP35" i="16"/>
  <c r="BO35" i="16" s="1"/>
  <c r="AQ35" i="16"/>
  <c r="BP35" i="16" s="1"/>
  <c r="AR35" i="16"/>
  <c r="BQ35" i="16" s="1"/>
  <c r="AS35" i="16"/>
  <c r="BR35" i="16" s="1"/>
  <c r="AT35" i="16"/>
  <c r="BS35" i="16" s="1"/>
  <c r="AU35" i="16"/>
  <c r="BT35" i="16" s="1"/>
  <c r="AV35" i="16"/>
  <c r="BU35" i="16" s="1"/>
  <c r="AW35" i="16"/>
  <c r="BV35" i="16" s="1"/>
  <c r="AX35" i="16"/>
  <c r="BW35" i="16" s="1"/>
  <c r="AY35" i="16"/>
  <c r="BX35" i="16" s="1"/>
  <c r="CZ77" i="16"/>
  <c r="BZ33" i="16"/>
  <c r="CA33" i="16" s="1"/>
  <c r="E4" i="17" s="1"/>
  <c r="CY82" i="16"/>
  <c r="AE44" i="16"/>
  <c r="BD44" i="16" s="1"/>
  <c r="AF44" i="16"/>
  <c r="BE44" i="16" s="1"/>
  <c r="AG44" i="16"/>
  <c r="BF44" i="16" s="1"/>
  <c r="AH44" i="16"/>
  <c r="BG44" i="16" s="1"/>
  <c r="AI44" i="16"/>
  <c r="BH44" i="16" s="1"/>
  <c r="AJ44" i="16"/>
  <c r="BI44" i="16" s="1"/>
  <c r="AK44" i="16"/>
  <c r="BJ44" i="16" s="1"/>
  <c r="AL44" i="16"/>
  <c r="BK44" i="16" s="1"/>
  <c r="AM44" i="16"/>
  <c r="BL44" i="16" s="1"/>
  <c r="AN44" i="16"/>
  <c r="BM44" i="16" s="1"/>
  <c r="AO44" i="16"/>
  <c r="BN44" i="16" s="1"/>
  <c r="AP44" i="16"/>
  <c r="BO44" i="16" s="1"/>
  <c r="AQ44" i="16"/>
  <c r="BP44" i="16" s="1"/>
  <c r="AR44" i="16"/>
  <c r="BQ44" i="16" s="1"/>
  <c r="AS44" i="16"/>
  <c r="BR44" i="16" s="1"/>
  <c r="AT44" i="16"/>
  <c r="BS44" i="16" s="1"/>
  <c r="AU44" i="16"/>
  <c r="BT44" i="16" s="1"/>
  <c r="AV44" i="16"/>
  <c r="BU44" i="16" s="1"/>
  <c r="AW44" i="16"/>
  <c r="BV44" i="16" s="1"/>
  <c r="AX44" i="16"/>
  <c r="BW44" i="16" s="1"/>
  <c r="AY44" i="16"/>
  <c r="BX44" i="16" s="1"/>
  <c r="AZ44" i="16"/>
  <c r="BY44" i="16" s="1"/>
  <c r="FG69" i="16"/>
  <c r="EK69" i="16"/>
  <c r="AT69" i="16" s="1"/>
  <c r="BA35" i="16"/>
  <c r="CY35" i="16"/>
  <c r="AQ66" i="16"/>
  <c r="EH66" i="16"/>
  <c r="BZ31" i="16"/>
  <c r="CA31" i="16" s="1"/>
  <c r="E2" i="17" s="1"/>
  <c r="FE74" i="16"/>
  <c r="FE73" i="16"/>
  <c r="BP65" i="16"/>
  <c r="DM65" i="16"/>
  <c r="CZ42" i="16"/>
  <c r="BC42" i="16" s="1"/>
  <c r="BB42" i="16"/>
  <c r="BZ45" i="16"/>
  <c r="CA45" i="16" s="1"/>
  <c r="F7" i="17" s="1"/>
  <c r="BB38" i="16"/>
  <c r="CZ38" i="16"/>
  <c r="BC38" i="16" s="1"/>
  <c r="CY47" i="16"/>
  <c r="BP62" i="16"/>
  <c r="DM62" i="16"/>
  <c r="BZ38" i="16"/>
  <c r="CA38" i="16" s="1"/>
  <c r="E9" i="17" s="1"/>
  <c r="CZ44" i="16"/>
  <c r="BC44" i="16" s="1"/>
  <c r="BB44" i="16"/>
  <c r="AZ35" i="16"/>
  <c r="BY35" i="16" s="1"/>
  <c r="CY80" i="16"/>
  <c r="FE71" i="16"/>
  <c r="FF74" i="16"/>
  <c r="EJ74" i="16"/>
  <c r="AS74" i="16" s="1"/>
  <c r="FF73" i="16"/>
  <c r="EJ73" i="16"/>
  <c r="AS73" i="16" s="1"/>
  <c r="BA40" i="16"/>
  <c r="CY40" i="16"/>
  <c r="CZ36" i="16"/>
  <c r="BC36" i="16" s="1"/>
  <c r="BB36" i="16"/>
  <c r="CZ83" i="16"/>
  <c r="CY76" i="16"/>
  <c r="EK68" i="16"/>
  <c r="AT68" i="16" s="1"/>
  <c r="FG68" i="16"/>
  <c r="EH60" i="16"/>
  <c r="AQ60" i="16" s="1"/>
  <c r="FF71" i="16"/>
  <c r="EJ71" i="16"/>
  <c r="AS71" i="16" s="1"/>
  <c r="BR71" i="16" s="1"/>
  <c r="AE42" i="16"/>
  <c r="BD42" i="16" s="1"/>
  <c r="AF42" i="16"/>
  <c r="BE42" i="16" s="1"/>
  <c r="AG42" i="16"/>
  <c r="BF42" i="16" s="1"/>
  <c r="AH42" i="16"/>
  <c r="BG42" i="16" s="1"/>
  <c r="AI42" i="16"/>
  <c r="BH42" i="16" s="1"/>
  <c r="AJ42" i="16"/>
  <c r="BI42" i="16" s="1"/>
  <c r="AK42" i="16"/>
  <c r="BJ42" i="16" s="1"/>
  <c r="AL42" i="16"/>
  <c r="BK42" i="16" s="1"/>
  <c r="AM42" i="16"/>
  <c r="BL42" i="16" s="1"/>
  <c r="AN42" i="16"/>
  <c r="BM42" i="16" s="1"/>
  <c r="AO42" i="16"/>
  <c r="BN42" i="16" s="1"/>
  <c r="AP42" i="16"/>
  <c r="BO42" i="16" s="1"/>
  <c r="AQ42" i="16"/>
  <c r="BP42" i="16" s="1"/>
  <c r="AR42" i="16"/>
  <c r="BQ42" i="16" s="1"/>
  <c r="AS42" i="16"/>
  <c r="BR42" i="16" s="1"/>
  <c r="AT42" i="16"/>
  <c r="BS42" i="16" s="1"/>
  <c r="AU42" i="16"/>
  <c r="BT42" i="16" s="1"/>
  <c r="AV42" i="16"/>
  <c r="BU42" i="16" s="1"/>
  <c r="AW42" i="16"/>
  <c r="BV42" i="16" s="1"/>
  <c r="AX42" i="16"/>
  <c r="BW42" i="16" s="1"/>
  <c r="AY42" i="16"/>
  <c r="BX42" i="16" s="1"/>
  <c r="AZ42" i="16"/>
  <c r="BY42" i="16" s="1"/>
  <c r="AR82" i="16"/>
  <c r="AM80" i="16"/>
  <c r="AS82" i="16"/>
  <c r="AE82" i="16"/>
  <c r="AQ82" i="16"/>
  <c r="AO80" i="16"/>
  <c r="AQ76" i="16"/>
  <c r="AK76" i="16"/>
  <c r="AP84" i="16"/>
  <c r="AK84" i="16"/>
  <c r="AI80" i="16"/>
  <c r="AI82" i="16"/>
  <c r="AE80" i="16"/>
  <c r="AE79" i="16"/>
  <c r="AW84" i="16"/>
  <c r="AO79" i="16"/>
  <c r="AP76" i="16"/>
  <c r="AV76" i="16"/>
  <c r="AS84" i="16"/>
  <c r="AK79" i="16"/>
  <c r="BB77" i="16"/>
  <c r="AT76" i="16"/>
  <c r="AU80" i="16"/>
  <c r="AJ80" i="16"/>
  <c r="BA84" i="16"/>
  <c r="AT79" i="16"/>
  <c r="AY79" i="16"/>
  <c r="AG76" i="16"/>
  <c r="AU76" i="16"/>
  <c r="AM84" i="16"/>
  <c r="AG84" i="16"/>
  <c r="AG82" i="16"/>
  <c r="AQ80" i="16"/>
  <c r="AX80" i="16"/>
  <c r="AR80" i="16"/>
  <c r="AH82" i="16"/>
  <c r="AJ79" i="16"/>
  <c r="AO84" i="16"/>
  <c r="AE84" i="16"/>
  <c r="AS80" i="16"/>
  <c r="AE76" i="16"/>
  <c r="AX84" i="16"/>
  <c r="AY84" i="16"/>
  <c r="AV79" i="16"/>
  <c r="AP79" i="16"/>
  <c r="BC83" i="16"/>
  <c r="AK82" i="16"/>
  <c r="AM79" i="16"/>
  <c r="AG79" i="16"/>
  <c r="BA80" i="16"/>
  <c r="AW82" i="16"/>
  <c r="AS79" i="16"/>
  <c r="AN79" i="16"/>
  <c r="AH79" i="16"/>
  <c r="AV80" i="16"/>
  <c r="AM76" i="16"/>
  <c r="AL79" i="16"/>
  <c r="AR76" i="16"/>
  <c r="AU82" i="16"/>
  <c r="AL82" i="16"/>
  <c r="AI79" i="16"/>
  <c r="AF80" i="16"/>
  <c r="AH76" i="16"/>
  <c r="AY76" i="16"/>
  <c r="AX76" i="16"/>
  <c r="AO82" i="16"/>
  <c r="AI84" i="16"/>
  <c r="AQ79" i="16"/>
  <c r="AR84" i="16"/>
  <c r="AN84" i="16"/>
  <c r="AT80" i="16"/>
  <c r="AL76" i="16"/>
  <c r="AY80" i="16"/>
  <c r="AV82" i="16"/>
  <c r="AL84" i="16"/>
  <c r="AX82" i="16"/>
  <c r="AU84" i="16"/>
  <c r="AW79" i="16"/>
  <c r="AW80" i="16"/>
  <c r="AU79" i="16"/>
  <c r="AF82" i="16"/>
  <c r="AV84" i="16"/>
  <c r="AI76" i="16"/>
  <c r="AT82" i="16"/>
  <c r="AH84" i="16"/>
  <c r="BA76" i="16"/>
  <c r="AN82" i="16"/>
  <c r="AJ76" i="16"/>
  <c r="AM82" i="16"/>
  <c r="BA79" i="16"/>
  <c r="AQ84" i="16"/>
  <c r="AH80" i="16"/>
  <c r="BA82" i="16"/>
  <c r="AJ84" i="16"/>
  <c r="AX79" i="16"/>
  <c r="BB83" i="16"/>
  <c r="AG80" i="16"/>
  <c r="AP82" i="16"/>
  <c r="AY82" i="16"/>
  <c r="AN80" i="16"/>
  <c r="AT84" i="16"/>
  <c r="AW76" i="16"/>
  <c r="AP80" i="16"/>
  <c r="AK80" i="16"/>
  <c r="AO76" i="16"/>
  <c r="AF84" i="16"/>
  <c r="AR79" i="16"/>
  <c r="AJ82" i="16"/>
  <c r="AL80" i="16"/>
  <c r="AF79" i="16"/>
  <c r="AN76" i="16"/>
  <c r="AF76" i="16"/>
  <c r="AS76" i="16"/>
  <c r="BC77" i="16"/>
  <c r="BK79" i="16" l="1"/>
  <c r="BN80" i="16"/>
  <c r="BF76" i="16"/>
  <c r="BO82" i="16"/>
  <c r="BJ79" i="16"/>
  <c r="BQ84" i="16"/>
  <c r="BU76" i="16"/>
  <c r="BM76" i="16"/>
  <c r="BE76" i="16"/>
  <c r="BV82" i="16"/>
  <c r="BN82" i="16"/>
  <c r="BF82" i="16"/>
  <c r="BQ79" i="16"/>
  <c r="BI79" i="16"/>
  <c r="BX84" i="16"/>
  <c r="BP84" i="16"/>
  <c r="BH84" i="16"/>
  <c r="BT80" i="16"/>
  <c r="BL80" i="16"/>
  <c r="BD80" i="16"/>
  <c r="BP82" i="16"/>
  <c r="BV80" i="16"/>
  <c r="BN76" i="16"/>
  <c r="BU80" i="16"/>
  <c r="BE80" i="16"/>
  <c r="BT76" i="16"/>
  <c r="BL76" i="16"/>
  <c r="BD76" i="16"/>
  <c r="BU82" i="16"/>
  <c r="BM82" i="16"/>
  <c r="BE82" i="16"/>
  <c r="BX79" i="16"/>
  <c r="BP79" i="16"/>
  <c r="BH79" i="16"/>
  <c r="BW84" i="16"/>
  <c r="BO84" i="16"/>
  <c r="BG84" i="16"/>
  <c r="BS80" i="16"/>
  <c r="BK80" i="16"/>
  <c r="BG76" i="16"/>
  <c r="BJ84" i="16"/>
  <c r="BV76" i="16"/>
  <c r="BW82" i="16"/>
  <c r="BG82" i="16"/>
  <c r="BR79" i="16"/>
  <c r="BI84" i="16"/>
  <c r="BM80" i="16"/>
  <c r="BS76" i="16"/>
  <c r="BK76" i="16"/>
  <c r="BT82" i="16"/>
  <c r="BL82" i="16"/>
  <c r="BD82" i="16"/>
  <c r="BW79" i="16"/>
  <c r="BO79" i="16"/>
  <c r="BG79" i="16"/>
  <c r="BV84" i="16"/>
  <c r="BN84" i="16"/>
  <c r="BF84" i="16"/>
  <c r="BR80" i="16"/>
  <c r="BJ80" i="16"/>
  <c r="BO76" i="16"/>
  <c r="BH82" i="16"/>
  <c r="BS79" i="16"/>
  <c r="BF80" i="16"/>
  <c r="BR76" i="16"/>
  <c r="BJ76" i="16"/>
  <c r="BS82" i="16"/>
  <c r="BK82" i="16"/>
  <c r="BV79" i="16"/>
  <c r="BN79" i="16"/>
  <c r="BF79" i="16"/>
  <c r="BU84" i="16"/>
  <c r="BM84" i="16"/>
  <c r="BE84" i="16"/>
  <c r="BQ80" i="16"/>
  <c r="BI80" i="16"/>
  <c r="BX82" i="16"/>
  <c r="BQ76" i="16"/>
  <c r="BI76" i="16"/>
  <c r="BR82" i="16"/>
  <c r="BJ82" i="16"/>
  <c r="BU79" i="16"/>
  <c r="BM79" i="16"/>
  <c r="BE79" i="16"/>
  <c r="BT84" i="16"/>
  <c r="BL84" i="16"/>
  <c r="BD84" i="16"/>
  <c r="BX80" i="16"/>
  <c r="BP80" i="16"/>
  <c r="BH80" i="16"/>
  <c r="BW76" i="16"/>
  <c r="BR84" i="16"/>
  <c r="BX76" i="16"/>
  <c r="BP76" i="16"/>
  <c r="BH76" i="16"/>
  <c r="BQ82" i="16"/>
  <c r="BI82" i="16"/>
  <c r="BT79" i="16"/>
  <c r="BL79" i="16"/>
  <c r="BD79" i="16"/>
  <c r="BS84" i="16"/>
  <c r="BK84" i="16"/>
  <c r="BW80" i="16"/>
  <c r="BO80" i="16"/>
  <c r="BG80" i="16"/>
  <c r="BR73" i="16"/>
  <c r="DO73" i="16"/>
  <c r="BR74" i="16"/>
  <c r="DO74" i="16"/>
  <c r="BS69" i="16"/>
  <c r="DP69" i="16"/>
  <c r="BR70" i="16"/>
  <c r="DO70" i="16"/>
  <c r="BS68" i="16"/>
  <c r="DP68" i="16"/>
  <c r="CZ79" i="16"/>
  <c r="EI65" i="16"/>
  <c r="AR65" i="16" s="1"/>
  <c r="EP72" i="16"/>
  <c r="AY72" i="16" s="1"/>
  <c r="FL72" i="16"/>
  <c r="AR64" i="16"/>
  <c r="EI64" i="16"/>
  <c r="CZ76" i="16"/>
  <c r="EI59" i="16"/>
  <c r="AR59" i="16" s="1"/>
  <c r="EI58" i="16"/>
  <c r="AR58" i="16" s="1"/>
  <c r="AE40" i="16"/>
  <c r="BD40" i="16" s="1"/>
  <c r="AF40" i="16"/>
  <c r="BE40" i="16" s="1"/>
  <c r="AG40" i="16"/>
  <c r="BF40" i="16" s="1"/>
  <c r="AH40" i="16"/>
  <c r="BG40" i="16" s="1"/>
  <c r="AI40" i="16"/>
  <c r="BH40" i="16" s="1"/>
  <c r="AJ40" i="16"/>
  <c r="BI40" i="16" s="1"/>
  <c r="AK40" i="16"/>
  <c r="BJ40" i="16" s="1"/>
  <c r="AL40" i="16"/>
  <c r="BK40" i="16" s="1"/>
  <c r="AM40" i="16"/>
  <c r="BL40" i="16" s="1"/>
  <c r="AN40" i="16"/>
  <c r="BM40" i="16" s="1"/>
  <c r="AO40" i="16"/>
  <c r="BN40" i="16" s="1"/>
  <c r="AP40" i="16"/>
  <c r="BO40" i="16" s="1"/>
  <c r="AQ40" i="16"/>
  <c r="BP40" i="16" s="1"/>
  <c r="AR40" i="16"/>
  <c r="BQ40" i="16" s="1"/>
  <c r="AS40" i="16"/>
  <c r="BR40" i="16" s="1"/>
  <c r="AT40" i="16"/>
  <c r="BS40" i="16" s="1"/>
  <c r="AU40" i="16"/>
  <c r="BT40" i="16" s="1"/>
  <c r="AV40" i="16"/>
  <c r="BU40" i="16" s="1"/>
  <c r="AW40" i="16"/>
  <c r="BV40" i="16" s="1"/>
  <c r="AX40" i="16"/>
  <c r="BW40" i="16" s="1"/>
  <c r="AY40" i="16"/>
  <c r="BX40" i="16" s="1"/>
  <c r="AZ40" i="16"/>
  <c r="BY40" i="16" s="1"/>
  <c r="BZ44" i="16"/>
  <c r="CA44" i="16" s="1"/>
  <c r="F6" i="17" s="1"/>
  <c r="CZ80" i="16"/>
  <c r="EK67" i="16"/>
  <c r="AT67" i="16" s="1"/>
  <c r="FG67" i="16"/>
  <c r="AE47" i="16"/>
  <c r="BD47" i="16" s="1"/>
  <c r="AF47" i="16"/>
  <c r="BE47" i="16" s="1"/>
  <c r="AG47" i="16"/>
  <c r="BF47" i="16" s="1"/>
  <c r="AH47" i="16"/>
  <c r="BG47" i="16" s="1"/>
  <c r="AI47" i="16"/>
  <c r="BH47" i="16" s="1"/>
  <c r="AJ47" i="16"/>
  <c r="BI47" i="16" s="1"/>
  <c r="AK47" i="16"/>
  <c r="BJ47" i="16" s="1"/>
  <c r="AL47" i="16"/>
  <c r="BK47" i="16" s="1"/>
  <c r="AM47" i="16"/>
  <c r="BL47" i="16" s="1"/>
  <c r="AN47" i="16"/>
  <c r="BM47" i="16" s="1"/>
  <c r="AO47" i="16"/>
  <c r="BN47" i="16" s="1"/>
  <c r="AP47" i="16"/>
  <c r="BO47" i="16" s="1"/>
  <c r="AQ47" i="16"/>
  <c r="BP47" i="16" s="1"/>
  <c r="AR47" i="16"/>
  <c r="BQ47" i="16" s="1"/>
  <c r="AS47" i="16"/>
  <c r="BR47" i="16" s="1"/>
  <c r="AT47" i="16"/>
  <c r="BS47" i="16" s="1"/>
  <c r="AU47" i="16"/>
  <c r="BT47" i="16" s="1"/>
  <c r="AV47" i="16"/>
  <c r="BU47" i="16" s="1"/>
  <c r="AW47" i="16"/>
  <c r="BV47" i="16" s="1"/>
  <c r="AX47" i="16"/>
  <c r="BW47" i="16" s="1"/>
  <c r="AY47" i="16"/>
  <c r="BX47" i="16" s="1"/>
  <c r="AZ47" i="16"/>
  <c r="BY47" i="16" s="1"/>
  <c r="BZ42" i="16"/>
  <c r="CA42" i="16" s="1"/>
  <c r="F4" i="17" s="1"/>
  <c r="BB41" i="16"/>
  <c r="CZ41" i="16"/>
  <c r="BC41" i="16" s="1"/>
  <c r="BZ48" i="16"/>
  <c r="CA48" i="16" s="1"/>
  <c r="F10" i="17" s="1"/>
  <c r="AE41" i="16"/>
  <c r="BD41" i="16" s="1"/>
  <c r="AF41" i="16"/>
  <c r="BE41" i="16" s="1"/>
  <c r="AG41" i="16"/>
  <c r="BF41" i="16" s="1"/>
  <c r="AH41" i="16"/>
  <c r="BG41" i="16" s="1"/>
  <c r="AI41" i="16"/>
  <c r="BH41" i="16" s="1"/>
  <c r="AJ41" i="16"/>
  <c r="BI41" i="16" s="1"/>
  <c r="AK41" i="16"/>
  <c r="BJ41" i="16" s="1"/>
  <c r="AL41" i="16"/>
  <c r="BK41" i="16" s="1"/>
  <c r="AM41" i="16"/>
  <c r="BL41" i="16" s="1"/>
  <c r="AN41" i="16"/>
  <c r="BM41" i="16" s="1"/>
  <c r="AO41" i="16"/>
  <c r="BN41" i="16" s="1"/>
  <c r="AP41" i="16"/>
  <c r="BO41" i="16" s="1"/>
  <c r="AQ41" i="16"/>
  <c r="BP41" i="16" s="1"/>
  <c r="AR41" i="16"/>
  <c r="BQ41" i="16" s="1"/>
  <c r="AS41" i="16"/>
  <c r="BR41" i="16" s="1"/>
  <c r="AT41" i="16"/>
  <c r="BS41" i="16" s="1"/>
  <c r="AU41" i="16"/>
  <c r="BT41" i="16" s="1"/>
  <c r="AV41" i="16"/>
  <c r="BU41" i="16" s="1"/>
  <c r="AW41" i="16"/>
  <c r="BV41" i="16" s="1"/>
  <c r="AX41" i="16"/>
  <c r="BW41" i="16" s="1"/>
  <c r="AY41" i="16"/>
  <c r="BX41" i="16" s="1"/>
  <c r="AZ41" i="16"/>
  <c r="BY41" i="16" s="1"/>
  <c r="BB35" i="16"/>
  <c r="CZ35" i="16"/>
  <c r="BC35" i="16" s="1"/>
  <c r="BP60" i="16"/>
  <c r="DM60" i="16"/>
  <c r="DO71" i="16"/>
  <c r="EL63" i="16"/>
  <c r="AU63" i="16" s="1"/>
  <c r="CZ47" i="16"/>
  <c r="BC47" i="16" s="1"/>
  <c r="BB47" i="16"/>
  <c r="BB40" i="16"/>
  <c r="CZ40" i="16"/>
  <c r="BC40" i="16" s="1"/>
  <c r="EI62" i="16"/>
  <c r="AR62" i="16" s="1"/>
  <c r="CZ82" i="16"/>
  <c r="BZ35" i="16"/>
  <c r="CA35" i="16" s="1"/>
  <c r="E6" i="17" s="1"/>
  <c r="FE75" i="16"/>
  <c r="BP66" i="16"/>
  <c r="DM66" i="16"/>
  <c r="CZ84" i="16"/>
  <c r="EI61" i="16"/>
  <c r="AR61" i="16" s="1"/>
  <c r="BZ83" i="16"/>
  <c r="CA83" i="16" s="1"/>
  <c r="EJ75" i="16"/>
  <c r="AS75" i="16" s="1"/>
  <c r="FF75" i="16"/>
  <c r="BZ77" i="16"/>
  <c r="CA77" i="16" s="1"/>
  <c r="FK72" i="16"/>
  <c r="BC76" i="16"/>
  <c r="BC80" i="16"/>
  <c r="BB80" i="16"/>
  <c r="BB79" i="16"/>
  <c r="BB76" i="16"/>
  <c r="BB82" i="16"/>
  <c r="BC79" i="16"/>
  <c r="BC82" i="16"/>
  <c r="BB84" i="16"/>
  <c r="BC84" i="16"/>
  <c r="BX72" i="16" l="1"/>
  <c r="DU72" i="16"/>
  <c r="FM72" i="16" s="1"/>
  <c r="BZ41" i="16"/>
  <c r="CA41" i="16" s="1"/>
  <c r="F3" i="17" s="1"/>
  <c r="BS67" i="16"/>
  <c r="DP67" i="16"/>
  <c r="BT63" i="16"/>
  <c r="DQ63" i="16"/>
  <c r="BR75" i="16"/>
  <c r="DO75" i="16"/>
  <c r="BQ65" i="16"/>
  <c r="DN65" i="16"/>
  <c r="BQ61" i="16"/>
  <c r="DN61" i="16"/>
  <c r="FH69" i="16"/>
  <c r="EL69" i="16"/>
  <c r="AU69" i="16" s="1"/>
  <c r="BZ84" i="16"/>
  <c r="CA84" i="16" s="1"/>
  <c r="BQ58" i="16"/>
  <c r="DN58" i="16"/>
  <c r="EI66" i="16"/>
  <c r="AR66" i="16" s="1"/>
  <c r="BZ47" i="16"/>
  <c r="CA47" i="16" s="1"/>
  <c r="F9" i="17" s="1"/>
  <c r="EK74" i="16"/>
  <c r="AT74" i="16" s="1"/>
  <c r="FG74" i="16"/>
  <c r="BZ40" i="16"/>
  <c r="CA40" i="16" s="1"/>
  <c r="F2" i="17" s="1"/>
  <c r="BQ62" i="16"/>
  <c r="DN62" i="16"/>
  <c r="BQ59" i="16"/>
  <c r="DN59" i="16"/>
  <c r="BZ79" i="16"/>
  <c r="CA79" i="16" s="1"/>
  <c r="BZ82" i="16"/>
  <c r="CA82" i="16" s="1"/>
  <c r="BZ76" i="16"/>
  <c r="CA76" i="16" s="1"/>
  <c r="BZ80" i="16"/>
  <c r="CA80" i="16" s="1"/>
  <c r="FH68" i="16"/>
  <c r="EL68" i="16"/>
  <c r="AU68" i="16" s="1"/>
  <c r="FG73" i="16"/>
  <c r="EK73" i="16"/>
  <c r="AT73" i="16" s="1"/>
  <c r="EQ72" i="16"/>
  <c r="AZ72" i="16" s="1"/>
  <c r="EK71" i="16"/>
  <c r="AT71" i="16" s="1"/>
  <c r="FG71" i="16"/>
  <c r="BQ64" i="16"/>
  <c r="DN64" i="16"/>
  <c r="EI60" i="16"/>
  <c r="AR60" i="16" s="1"/>
  <c r="EK70" i="16"/>
  <c r="AT70" i="16" s="1"/>
  <c r="FG70" i="16"/>
  <c r="BA72" i="16" l="1"/>
  <c r="BS73" i="16"/>
  <c r="DP73" i="16"/>
  <c r="BT68" i="16"/>
  <c r="DQ68" i="16"/>
  <c r="BQ66" i="16"/>
  <c r="DN66" i="16"/>
  <c r="BT69" i="16"/>
  <c r="DQ69" i="16"/>
  <c r="BS71" i="16"/>
  <c r="DP71" i="16"/>
  <c r="BS70" i="16"/>
  <c r="DP70" i="16"/>
  <c r="BS74" i="16"/>
  <c r="DP74" i="16"/>
  <c r="BY72" i="16"/>
  <c r="BZ72" i="16" s="1"/>
  <c r="CA72" i="16" s="1"/>
  <c r="I7" i="17" s="1"/>
  <c r="DV72" i="16"/>
  <c r="EK75" i="16"/>
  <c r="AT75" i="16" s="1"/>
  <c r="FG75" i="16"/>
  <c r="EJ65" i="16"/>
  <c r="AS65" i="16" s="1"/>
  <c r="EJ59" i="16"/>
  <c r="AS59" i="16" s="1"/>
  <c r="EJ64" i="16"/>
  <c r="AS64" i="16" s="1"/>
  <c r="BB72" i="16"/>
  <c r="AV63" i="16"/>
  <c r="EM63" i="16"/>
  <c r="BQ60" i="16"/>
  <c r="DN60" i="16"/>
  <c r="BC72" i="16"/>
  <c r="EJ62" i="16"/>
  <c r="AS62" i="16" s="1"/>
  <c r="EJ58" i="16"/>
  <c r="AS58" i="16" s="1"/>
  <c r="EJ61" i="16"/>
  <c r="AS61" i="16" s="1"/>
  <c r="FH67" i="16"/>
  <c r="EL67" i="16"/>
  <c r="AU67" i="16" s="1"/>
  <c r="BR61" i="16" l="1"/>
  <c r="DO61" i="16"/>
  <c r="BR58" i="16"/>
  <c r="DO58" i="16"/>
  <c r="BR64" i="16"/>
  <c r="DO64" i="16"/>
  <c r="BR62" i="16"/>
  <c r="DO62" i="16"/>
  <c r="BR59" i="16"/>
  <c r="DO59" i="16"/>
  <c r="BR65" i="16"/>
  <c r="DO65" i="16"/>
  <c r="BS75" i="16"/>
  <c r="DP75" i="16"/>
  <c r="ER72" i="16"/>
  <c r="FN72" i="16"/>
  <c r="EL74" i="16"/>
  <c r="AU74" i="16" s="1"/>
  <c r="FH74" i="16"/>
  <c r="EJ66" i="16"/>
  <c r="AS66" i="16" s="1"/>
  <c r="FI69" i="16"/>
  <c r="EM69" i="16"/>
  <c r="AV69" i="16" s="1"/>
  <c r="BU63" i="16"/>
  <c r="DR63" i="16"/>
  <c r="EL70" i="16"/>
  <c r="AU70" i="16" s="1"/>
  <c r="FH70" i="16"/>
  <c r="EM68" i="16"/>
  <c r="AV68" i="16" s="1"/>
  <c r="FI68" i="16"/>
  <c r="BT67" i="16"/>
  <c r="DQ67" i="16"/>
  <c r="EL71" i="16"/>
  <c r="AU71" i="16" s="1"/>
  <c r="FH71" i="16"/>
  <c r="FH73" i="16"/>
  <c r="EL73" i="16"/>
  <c r="AU73" i="16" s="1"/>
  <c r="EJ60" i="16"/>
  <c r="AS60" i="16" s="1"/>
  <c r="BT70" i="16" l="1"/>
  <c r="DQ70" i="16"/>
  <c r="BT71" i="16"/>
  <c r="DQ71" i="16"/>
  <c r="BU69" i="16"/>
  <c r="DR69" i="16"/>
  <c r="BR66" i="16"/>
  <c r="DO66" i="16"/>
  <c r="BT73" i="16"/>
  <c r="DQ73" i="16"/>
  <c r="EK62" i="16"/>
  <c r="AT62" i="16" s="1"/>
  <c r="EK59" i="16"/>
  <c r="AT59" i="16" s="1"/>
  <c r="BU68" i="16"/>
  <c r="DR68" i="16"/>
  <c r="BT74" i="16"/>
  <c r="DQ74" i="16"/>
  <c r="BR60" i="16"/>
  <c r="DO60" i="16"/>
  <c r="FH75" i="16"/>
  <c r="EL75" i="16"/>
  <c r="AU75" i="16" s="1"/>
  <c r="AT64" i="16"/>
  <c r="EK64" i="16"/>
  <c r="AT65" i="16"/>
  <c r="EK65" i="16"/>
  <c r="EK58" i="16"/>
  <c r="AT58" i="16" s="1"/>
  <c r="EK61" i="16"/>
  <c r="AT61" i="16" s="1"/>
  <c r="EM67" i="16"/>
  <c r="AV67" i="16" s="1"/>
  <c r="FI67" i="16"/>
  <c r="EN63" i="16"/>
  <c r="AW63" i="16" s="1"/>
  <c r="BV63" i="16" l="1"/>
  <c r="DS63" i="16"/>
  <c r="BS59" i="16"/>
  <c r="DP59" i="16"/>
  <c r="BS62" i="16"/>
  <c r="DP62" i="16"/>
  <c r="BT75" i="16"/>
  <c r="DQ75" i="16"/>
  <c r="BS58" i="16"/>
  <c r="DP58" i="16"/>
  <c r="BU67" i="16"/>
  <c r="DR67" i="16"/>
  <c r="BS64" i="16"/>
  <c r="DP64" i="16"/>
  <c r="EN68" i="16"/>
  <c r="AW68" i="16" s="1"/>
  <c r="FJ68" i="16"/>
  <c r="EK66" i="16"/>
  <c r="AT66" i="16" s="1"/>
  <c r="BS61" i="16"/>
  <c r="DP61" i="16"/>
  <c r="FJ69" i="16"/>
  <c r="EN69" i="16"/>
  <c r="AW69" i="16" s="1"/>
  <c r="EK60" i="16"/>
  <c r="AT60" i="16" s="1"/>
  <c r="FI71" i="16"/>
  <c r="EM71" i="16"/>
  <c r="AV71" i="16" s="1"/>
  <c r="BS65" i="16"/>
  <c r="DP65" i="16"/>
  <c r="EM74" i="16"/>
  <c r="AV74" i="16" s="1"/>
  <c r="FI74" i="16"/>
  <c r="FI73" i="16"/>
  <c r="EM73" i="16"/>
  <c r="AV73" i="16" s="1"/>
  <c r="FI70" i="16"/>
  <c r="EM70" i="16"/>
  <c r="AV70" i="16" s="1"/>
  <c r="BU71" i="16" l="1"/>
  <c r="DR71" i="16"/>
  <c r="BU73" i="16"/>
  <c r="DR73" i="16"/>
  <c r="BV68" i="16"/>
  <c r="DS68" i="16"/>
  <c r="BU70" i="16"/>
  <c r="DR70" i="16"/>
  <c r="BV69" i="16"/>
  <c r="DS69" i="16"/>
  <c r="BS66" i="16"/>
  <c r="DP66" i="16"/>
  <c r="BS60" i="16"/>
  <c r="DP60" i="16"/>
  <c r="EL65" i="16"/>
  <c r="AU65" i="16" s="1"/>
  <c r="AU64" i="16"/>
  <c r="EL64" i="16"/>
  <c r="EL62" i="16"/>
  <c r="AU62" i="16" s="1"/>
  <c r="EL61" i="16"/>
  <c r="AU61" i="16" s="1"/>
  <c r="EN67" i="16"/>
  <c r="AW67" i="16" s="1"/>
  <c r="FJ67" i="16"/>
  <c r="EL59" i="16"/>
  <c r="AU59" i="16" s="1"/>
  <c r="BU74" i="16"/>
  <c r="DR74" i="16"/>
  <c r="EL58" i="16"/>
  <c r="AU58" i="16" s="1"/>
  <c r="EO63" i="16"/>
  <c r="AX63" i="16" s="1"/>
  <c r="FI75" i="16"/>
  <c r="EM75" i="16"/>
  <c r="AV75" i="16" s="1"/>
  <c r="BT65" i="16" l="1"/>
  <c r="DQ65" i="16"/>
  <c r="BU75" i="16"/>
  <c r="DR75" i="16"/>
  <c r="BT59" i="16"/>
  <c r="DQ59" i="16"/>
  <c r="BV67" i="16"/>
  <c r="DS67" i="16"/>
  <c r="BW63" i="16"/>
  <c r="DT63" i="16"/>
  <c r="BT61" i="16"/>
  <c r="DQ61" i="16"/>
  <c r="BT62" i="16"/>
  <c r="DQ62" i="16"/>
  <c r="EN70" i="16"/>
  <c r="AW70" i="16" s="1"/>
  <c r="FJ70" i="16"/>
  <c r="BT64" i="16"/>
  <c r="DQ64" i="16"/>
  <c r="EO68" i="16"/>
  <c r="AX68" i="16" s="1"/>
  <c r="FK68" i="16"/>
  <c r="EN74" i="16"/>
  <c r="AW74" i="16" s="1"/>
  <c r="FJ74" i="16"/>
  <c r="BT58" i="16"/>
  <c r="DQ58" i="16"/>
  <c r="EL66" i="16"/>
  <c r="AU66" i="16" s="1"/>
  <c r="EL60" i="16"/>
  <c r="AU60" i="16" s="1"/>
  <c r="EN73" i="16"/>
  <c r="AW73" i="16" s="1"/>
  <c r="FJ73" i="16"/>
  <c r="FK69" i="16"/>
  <c r="EO69" i="16"/>
  <c r="AX69" i="16" s="1"/>
  <c r="EN71" i="16"/>
  <c r="AW71" i="16" s="1"/>
  <c r="FJ71" i="16"/>
  <c r="BW69" i="16" l="1"/>
  <c r="DT69" i="16"/>
  <c r="BV70" i="16"/>
  <c r="DS70" i="16"/>
  <c r="BV74" i="16"/>
  <c r="DS74" i="16"/>
  <c r="BW68" i="16"/>
  <c r="DT68" i="16"/>
  <c r="BT66" i="16"/>
  <c r="DQ66" i="16"/>
  <c r="BV73" i="16"/>
  <c r="DS73" i="16"/>
  <c r="EO67" i="16"/>
  <c r="AX67" i="16" s="1"/>
  <c r="FK67" i="16"/>
  <c r="EM62" i="16"/>
  <c r="AV62" i="16" s="1"/>
  <c r="BV71" i="16"/>
  <c r="DS71" i="16"/>
  <c r="EM59" i="16"/>
  <c r="AV59" i="16" s="1"/>
  <c r="EM61" i="16"/>
  <c r="AV61" i="16" s="1"/>
  <c r="EN75" i="16"/>
  <c r="AW75" i="16" s="1"/>
  <c r="FJ75" i="16"/>
  <c r="BT60" i="16"/>
  <c r="DQ60" i="16"/>
  <c r="EM58" i="16"/>
  <c r="AV58" i="16" s="1"/>
  <c r="EM64" i="16"/>
  <c r="AV64" i="16" s="1"/>
  <c r="EP63" i="16"/>
  <c r="AY63" i="16" s="1"/>
  <c r="EM65" i="16"/>
  <c r="AV65" i="16" s="1"/>
  <c r="BU65" i="16" l="1"/>
  <c r="DR65" i="16"/>
  <c r="BU62" i="16"/>
  <c r="DR62" i="16"/>
  <c r="BW67" i="16"/>
  <c r="DT67" i="16"/>
  <c r="BV75" i="16"/>
  <c r="DS75" i="16"/>
  <c r="BU58" i="16"/>
  <c r="DR58" i="16"/>
  <c r="BX63" i="16"/>
  <c r="DU63" i="16"/>
  <c r="EP68" i="16"/>
  <c r="AY68" i="16" s="1"/>
  <c r="FL68" i="16"/>
  <c r="BU64" i="16"/>
  <c r="DR64" i="16"/>
  <c r="BU61" i="16"/>
  <c r="DR61" i="16"/>
  <c r="EO74" i="16"/>
  <c r="AX74" i="16" s="1"/>
  <c r="FK74" i="16"/>
  <c r="EM60" i="16"/>
  <c r="AV60" i="16" s="1"/>
  <c r="BU59" i="16"/>
  <c r="DR59" i="16"/>
  <c r="EO70" i="16"/>
  <c r="AX70" i="16" s="1"/>
  <c r="FK70" i="16"/>
  <c r="FK71" i="16"/>
  <c r="EO71" i="16"/>
  <c r="AX71" i="16" s="1"/>
  <c r="FK73" i="16"/>
  <c r="EO73" i="16"/>
  <c r="AX73" i="16" s="1"/>
  <c r="EM66" i="16"/>
  <c r="AV66" i="16" s="1"/>
  <c r="EP69" i="16"/>
  <c r="AY69" i="16" s="1"/>
  <c r="FL69" i="16"/>
  <c r="BW70" i="16" l="1"/>
  <c r="DT70" i="16"/>
  <c r="BX68" i="16"/>
  <c r="DU68" i="16"/>
  <c r="BU60" i="16"/>
  <c r="DR60" i="16"/>
  <c r="BW73" i="16"/>
  <c r="DT73" i="16"/>
  <c r="EN64" i="16"/>
  <c r="AW64" i="16" s="1"/>
  <c r="EO75" i="16"/>
  <c r="AX75" i="16" s="1"/>
  <c r="FK75" i="16"/>
  <c r="BU66" i="16"/>
  <c r="DR66" i="16"/>
  <c r="BW74" i="16"/>
  <c r="DT74" i="16"/>
  <c r="BX69" i="16"/>
  <c r="DU69" i="16"/>
  <c r="EP67" i="16"/>
  <c r="AY67" i="16" s="1"/>
  <c r="FL67" i="16"/>
  <c r="BW71" i="16"/>
  <c r="DT71" i="16"/>
  <c r="EQ63" i="16"/>
  <c r="BC63" i="16" s="1"/>
  <c r="EN61" i="16"/>
  <c r="AW61" i="16" s="1"/>
  <c r="EN62" i="16"/>
  <c r="AW62" i="16" s="1"/>
  <c r="EN59" i="16"/>
  <c r="AW59" i="16" s="1"/>
  <c r="EN58" i="16"/>
  <c r="AW58" i="16" s="1"/>
  <c r="EN65" i="16"/>
  <c r="AW65" i="16" s="1"/>
  <c r="BB63" i="16" l="1"/>
  <c r="AZ63" i="16"/>
  <c r="DV63" i="16" s="1"/>
  <c r="ER63" i="16" s="1"/>
  <c r="BA63" i="16"/>
  <c r="BV59" i="16"/>
  <c r="DS59" i="16"/>
  <c r="BV62" i="16"/>
  <c r="DS62" i="16"/>
  <c r="BW75" i="16"/>
  <c r="DT75" i="16"/>
  <c r="EP74" i="16"/>
  <c r="AY74" i="16" s="1"/>
  <c r="FL74" i="16"/>
  <c r="EP71" i="16"/>
  <c r="AY71" i="16" s="1"/>
  <c r="FL71" i="16"/>
  <c r="EP73" i="16"/>
  <c r="AY73" i="16" s="1"/>
  <c r="FL73" i="16"/>
  <c r="BY63" i="16"/>
  <c r="BZ63" i="16" s="1"/>
  <c r="CA63" i="16" s="1"/>
  <c r="H7" i="17" s="1"/>
  <c r="J7" i="17" s="1"/>
  <c r="K7" i="17" s="1"/>
  <c r="BV64" i="16"/>
  <c r="DS64" i="16"/>
  <c r="EN66" i="16"/>
  <c r="AW66" i="16" s="1"/>
  <c r="BV61" i="16"/>
  <c r="DS61" i="16"/>
  <c r="EN60" i="16"/>
  <c r="AW60" i="16" s="1"/>
  <c r="FM69" i="16"/>
  <c r="EQ69" i="16"/>
  <c r="AZ69" i="16" s="1"/>
  <c r="BV65" i="16"/>
  <c r="DS65" i="16"/>
  <c r="BV58" i="16"/>
  <c r="DS58" i="16"/>
  <c r="BX67" i="16"/>
  <c r="DU67" i="16"/>
  <c r="FM68" i="16"/>
  <c r="EQ68" i="16"/>
  <c r="BB68" i="16" s="1"/>
  <c r="FL70" i="16"/>
  <c r="EP70" i="16"/>
  <c r="AY70" i="16" s="1"/>
  <c r="AZ68" i="16" l="1"/>
  <c r="BY68" i="16" s="1"/>
  <c r="BZ68" i="16" s="1"/>
  <c r="CA68" i="16" s="1"/>
  <c r="I3" i="17" s="1"/>
  <c r="BC68" i="16"/>
  <c r="BB69" i="16"/>
  <c r="BA68" i="16"/>
  <c r="BX74" i="16"/>
  <c r="DU74" i="16"/>
  <c r="BV60" i="16"/>
  <c r="DS60" i="16"/>
  <c r="BX70" i="16"/>
  <c r="DU70" i="16"/>
  <c r="BX73" i="16"/>
  <c r="DU73" i="16"/>
  <c r="BY69" i="16"/>
  <c r="BZ69" i="16" s="1"/>
  <c r="CA69" i="16" s="1"/>
  <c r="I4" i="17" s="1"/>
  <c r="DV69" i="16"/>
  <c r="BX71" i="16"/>
  <c r="DU71" i="16"/>
  <c r="M7" i="17"/>
  <c r="L7" i="17"/>
  <c r="N7" i="17"/>
  <c r="EO61" i="16"/>
  <c r="AX61" i="16" s="1"/>
  <c r="EP75" i="16"/>
  <c r="AY75" i="16" s="1"/>
  <c r="FL75" i="16"/>
  <c r="EQ67" i="16"/>
  <c r="BC67" i="16" s="1"/>
  <c r="FM67" i="16"/>
  <c r="BA69" i="16"/>
  <c r="EO58" i="16"/>
  <c r="AX58" i="16" s="1"/>
  <c r="BC69" i="16"/>
  <c r="EO64" i="16"/>
  <c r="AX64" i="16" s="1"/>
  <c r="EO65" i="16"/>
  <c r="AX65" i="16" s="1"/>
  <c r="BV66" i="16"/>
  <c r="DS66" i="16"/>
  <c r="EO62" i="16"/>
  <c r="AX62" i="16" s="1"/>
  <c r="EO59" i="16"/>
  <c r="AX59" i="16" s="1"/>
  <c r="DV68" i="16" l="1"/>
  <c r="FN68" i="16" s="1"/>
  <c r="BW62" i="16"/>
  <c r="DT62" i="16"/>
  <c r="BW58" i="16"/>
  <c r="DT58" i="16"/>
  <c r="BW61" i="16"/>
  <c r="DT61" i="16"/>
  <c r="BW64" i="16"/>
  <c r="DT64" i="16"/>
  <c r="BW65" i="16"/>
  <c r="DT65" i="16"/>
  <c r="BA67" i="16"/>
  <c r="BW59" i="16"/>
  <c r="DT59" i="16"/>
  <c r="FM73" i="16"/>
  <c r="EQ73" i="16"/>
  <c r="AZ73" i="16" s="1"/>
  <c r="EQ70" i="16"/>
  <c r="BC70" i="16" s="1"/>
  <c r="FM70" i="16"/>
  <c r="AZ67" i="16"/>
  <c r="EO66" i="16"/>
  <c r="AX66" i="16" s="1"/>
  <c r="BB67" i="16"/>
  <c r="EQ71" i="16"/>
  <c r="BB71" i="16" s="1"/>
  <c r="FM71" i="16"/>
  <c r="EO60" i="16"/>
  <c r="AX60" i="16" s="1"/>
  <c r="BX75" i="16"/>
  <c r="DU75" i="16"/>
  <c r="ER69" i="16"/>
  <c r="FN69" i="16"/>
  <c r="FM74" i="16"/>
  <c r="EQ74" i="16"/>
  <c r="BB74" i="16" s="1"/>
  <c r="ER68" i="16" l="1"/>
  <c r="BA73" i="16"/>
  <c r="BC73" i="16"/>
  <c r="BB73" i="16"/>
  <c r="BA74" i="16"/>
  <c r="AZ74" i="16"/>
  <c r="DV74" i="16" s="1"/>
  <c r="BC74" i="16"/>
  <c r="AZ70" i="16"/>
  <c r="BY70" i="16" s="1"/>
  <c r="BZ70" i="16" s="1"/>
  <c r="CA70" i="16" s="1"/>
  <c r="I5" i="17" s="1"/>
  <c r="BA70" i="16"/>
  <c r="BB70" i="16"/>
  <c r="BY73" i="16"/>
  <c r="BZ73" i="16" s="1"/>
  <c r="CA73" i="16" s="1"/>
  <c r="I8" i="17" s="1"/>
  <c r="DV73" i="16"/>
  <c r="BW66" i="16"/>
  <c r="DT66" i="16"/>
  <c r="BC71" i="16"/>
  <c r="EP64" i="16"/>
  <c r="AY64" i="16" s="1"/>
  <c r="BW60" i="16"/>
  <c r="DT60" i="16"/>
  <c r="EP59" i="16"/>
  <c r="AY59" i="16" s="1"/>
  <c r="EP58" i="16"/>
  <c r="AY58" i="16" s="1"/>
  <c r="EP61" i="16"/>
  <c r="AY61" i="16" s="1"/>
  <c r="AZ71" i="16"/>
  <c r="EQ75" i="16"/>
  <c r="BA75" i="16" s="1"/>
  <c r="FM75" i="16"/>
  <c r="BA71" i="16"/>
  <c r="BY67" i="16"/>
  <c r="BZ67" i="16" s="1"/>
  <c r="CA67" i="16" s="1"/>
  <c r="I2" i="17" s="1"/>
  <c r="DV67" i="16"/>
  <c r="EP65" i="16"/>
  <c r="AY65" i="16" s="1"/>
  <c r="AY62" i="16"/>
  <c r="EP62" i="16"/>
  <c r="BY74" i="16" l="1"/>
  <c r="BZ74" i="16" s="1"/>
  <c r="CA74" i="16" s="1"/>
  <c r="I9" i="17" s="1"/>
  <c r="BC75" i="16"/>
  <c r="DV70" i="16"/>
  <c r="ER70" i="16" s="1"/>
  <c r="AZ75" i="16"/>
  <c r="BY75" i="16" s="1"/>
  <c r="BZ75" i="16" s="1"/>
  <c r="CA75" i="16" s="1"/>
  <c r="I10" i="17" s="1"/>
  <c r="BB75" i="16"/>
  <c r="BX59" i="16"/>
  <c r="DU59" i="16"/>
  <c r="BX65" i="16"/>
  <c r="DU65" i="16"/>
  <c r="BX64" i="16"/>
  <c r="DU64" i="16"/>
  <c r="BX62" i="16"/>
  <c r="DU62" i="16"/>
  <c r="BX58" i="16"/>
  <c r="DU58" i="16"/>
  <c r="ER67" i="16"/>
  <c r="FN67" i="16"/>
  <c r="EP60" i="16"/>
  <c r="AY60" i="16" s="1"/>
  <c r="BY71" i="16"/>
  <c r="BZ71" i="16" s="1"/>
  <c r="CA71" i="16" s="1"/>
  <c r="I6" i="17" s="1"/>
  <c r="DV71" i="16"/>
  <c r="EP66" i="16"/>
  <c r="AY66" i="16" s="1"/>
  <c r="BX61" i="16"/>
  <c r="DU61" i="16"/>
  <c r="FN74" i="16"/>
  <c r="ER74" i="16"/>
  <c r="ER73" i="16"/>
  <c r="FN73" i="16"/>
  <c r="DV75" i="16" l="1"/>
  <c r="ER75" i="16" s="1"/>
  <c r="FN70" i="16"/>
  <c r="BX60" i="16"/>
  <c r="DU60" i="16"/>
  <c r="BX66" i="16"/>
  <c r="DU66" i="16"/>
  <c r="FN71" i="16"/>
  <c r="ER71" i="16"/>
  <c r="EQ62" i="16"/>
  <c r="BB62" i="16" s="1"/>
  <c r="EQ61" i="16"/>
  <c r="BC61" i="16" s="1"/>
  <c r="EQ64" i="16"/>
  <c r="BA64" i="16" s="1"/>
  <c r="EQ65" i="16"/>
  <c r="AZ65" i="16" s="1"/>
  <c r="BB58" i="16"/>
  <c r="BA58" i="16"/>
  <c r="EQ58" i="16"/>
  <c r="AZ58" i="16" s="1"/>
  <c r="BC59" i="16"/>
  <c r="EQ59" i="16"/>
  <c r="BA59" i="16" s="1"/>
  <c r="FN75" i="16" l="1"/>
  <c r="BB65" i="16"/>
  <c r="AZ59" i="16"/>
  <c r="BA65" i="16"/>
  <c r="AZ62" i="16"/>
  <c r="BY62" i="16" s="1"/>
  <c r="BZ62" i="16" s="1"/>
  <c r="CA62" i="16" s="1"/>
  <c r="H6" i="17" s="1"/>
  <c r="J6" i="17" s="1"/>
  <c r="K6" i="17" s="1"/>
  <c r="BC58" i="16"/>
  <c r="BA62" i="16"/>
  <c r="BC62" i="16"/>
  <c r="BB64" i="16"/>
  <c r="AZ61" i="16"/>
  <c r="BY65" i="16"/>
  <c r="BZ65" i="16" s="1"/>
  <c r="CA65" i="16" s="1"/>
  <c r="H9" i="17" s="1"/>
  <c r="J9" i="17" s="1"/>
  <c r="K9" i="17" s="1"/>
  <c r="DV65" i="16"/>
  <c r="ER65" i="16" s="1"/>
  <c r="BB59" i="16"/>
  <c r="BA61" i="16"/>
  <c r="BB61" i="16"/>
  <c r="BY61" i="16"/>
  <c r="BZ61" i="16" s="1"/>
  <c r="CA61" i="16" s="1"/>
  <c r="H5" i="17" s="1"/>
  <c r="J5" i="17" s="1"/>
  <c r="K5" i="17" s="1"/>
  <c r="DV61" i="16"/>
  <c r="ER61" i="16" s="1"/>
  <c r="BC64" i="16"/>
  <c r="BC65" i="16"/>
  <c r="AZ64" i="16"/>
  <c r="EQ66" i="16"/>
  <c r="BC66" i="16" s="1"/>
  <c r="BY59" i="16"/>
  <c r="BZ59" i="16" s="1"/>
  <c r="CA59" i="16" s="1"/>
  <c r="H3" i="17" s="1"/>
  <c r="J3" i="17" s="1"/>
  <c r="K3" i="17" s="1"/>
  <c r="DV59" i="16"/>
  <c r="ER59" i="16" s="1"/>
  <c r="BY58" i="16"/>
  <c r="BZ58" i="16" s="1"/>
  <c r="CA58" i="16" s="1"/>
  <c r="H2" i="17" s="1"/>
  <c r="J2" i="17" s="1"/>
  <c r="K2" i="17" s="1"/>
  <c r="DV58" i="16"/>
  <c r="ER58" i="16" s="1"/>
  <c r="EQ60" i="16"/>
  <c r="BA60" i="16" s="1"/>
  <c r="DV62" i="16" l="1"/>
  <c r="ER62" i="16" s="1"/>
  <c r="N5" i="17"/>
  <c r="M5" i="17"/>
  <c r="L5" i="17"/>
  <c r="N3" i="17"/>
  <c r="M3" i="17"/>
  <c r="L3" i="17"/>
  <c r="AZ60" i="16"/>
  <c r="BA66" i="16"/>
  <c r="N6" i="17"/>
  <c r="M6" i="17"/>
  <c r="L6" i="17"/>
  <c r="BB66" i="16"/>
  <c r="BB60" i="16"/>
  <c r="BC60" i="16"/>
  <c r="AZ66" i="16"/>
  <c r="N2" i="17"/>
  <c r="M2" i="17"/>
  <c r="L2" i="17"/>
  <c r="BY64" i="16"/>
  <c r="BZ64" i="16" s="1"/>
  <c r="CA64" i="16" s="1"/>
  <c r="H8" i="17" s="1"/>
  <c r="J8" i="17" s="1"/>
  <c r="K8" i="17" s="1"/>
  <c r="DV64" i="16"/>
  <c r="ER64" i="16" s="1"/>
  <c r="N9" i="17"/>
  <c r="M9" i="17"/>
  <c r="L9" i="17"/>
  <c r="N8" i="17" l="1"/>
  <c r="M8" i="17"/>
  <c r="L8" i="17"/>
  <c r="BY66" i="16"/>
  <c r="BZ66" i="16" s="1"/>
  <c r="CA66" i="16" s="1"/>
  <c r="H10" i="17" s="1"/>
  <c r="J10" i="17" s="1"/>
  <c r="K10" i="17" s="1"/>
  <c r="DV66" i="16"/>
  <c r="ER66" i="16" s="1"/>
  <c r="BY60" i="16"/>
  <c r="BZ60" i="16" s="1"/>
  <c r="CA60" i="16" s="1"/>
  <c r="H4" i="17" s="1"/>
  <c r="J4" i="17" s="1"/>
  <c r="K4" i="17" s="1"/>
  <c r="DV60" i="16"/>
  <c r="ER60" i="16" s="1"/>
  <c r="L4" i="17" l="1"/>
  <c r="N4" i="17"/>
  <c r="M4" i="17"/>
  <c r="N10" i="17"/>
  <c r="M10" i="17"/>
  <c r="L10" i="17"/>
  <c r="W5" i="10" l="1"/>
  <c r="K5" i="10" a="1"/>
  <c r="K5" i="10" s="1"/>
  <c r="K6" i="10" a="1"/>
  <c r="K6" i="10" s="1"/>
  <c r="K7" i="10" a="1"/>
  <c r="K7" i="10" s="1"/>
  <c r="K8" i="10" a="1"/>
  <c r="K8" i="10" s="1"/>
  <c r="K9" i="10" a="1"/>
  <c r="K9" i="10" s="1"/>
  <c r="K10" i="10" a="1"/>
  <c r="K10" i="10" s="1"/>
  <c r="K11" i="10" a="1"/>
  <c r="K11" i="10" s="1"/>
  <c r="K12" i="10" a="1"/>
  <c r="K12" i="10" s="1"/>
  <c r="K13" i="10" a="1"/>
  <c r="K13" i="10" s="1"/>
  <c r="K14" i="10" a="1"/>
  <c r="K14" i="10" s="1"/>
  <c r="K15" i="10" a="1"/>
  <c r="K15" i="10" s="1"/>
  <c r="K16" i="10" a="1"/>
  <c r="K16" i="10" s="1"/>
  <c r="K4" i="10" a="1"/>
  <c r="K4" i="10" s="1"/>
  <c r="AD4" i="12" l="1"/>
  <c r="P29" i="10"/>
  <c r="EE20" i="12" l="1"/>
  <c r="ED20" i="12"/>
  <c r="EC20" i="12"/>
  <c r="EB20" i="12"/>
  <c r="EA20" i="12"/>
  <c r="DZ20" i="12"/>
  <c r="DY20" i="12"/>
  <c r="DX20" i="12"/>
  <c r="DW20" i="12"/>
  <c r="DV20" i="12"/>
  <c r="DU20" i="12"/>
  <c r="DT20" i="12"/>
  <c r="DJ20" i="12"/>
  <c r="CN20" i="12"/>
  <c r="BO20" i="12"/>
  <c r="BN20" i="12"/>
  <c r="BM20" i="12"/>
  <c r="BL20" i="12"/>
  <c r="BK20" i="12"/>
  <c r="BJ20" i="12"/>
  <c r="BI20" i="12"/>
  <c r="BH20" i="12"/>
  <c r="BG20" i="12"/>
  <c r="BF20" i="12"/>
  <c r="BE20" i="12"/>
  <c r="BD20" i="12"/>
  <c r="BC20" i="12"/>
  <c r="CB18" i="12"/>
  <c r="CC18" i="12" s="1"/>
  <c r="BC18" i="12"/>
  <c r="BC16" i="12"/>
  <c r="AE16" i="12"/>
  <c r="AF16" i="12" s="1"/>
  <c r="BE16" i="12" s="1"/>
  <c r="A14" i="12" a="1"/>
  <c r="A14" i="12" s="1"/>
  <c r="C12" i="12" a="1"/>
  <c r="C12" i="12" s="1"/>
  <c r="B12" i="12"/>
  <c r="A12" i="12"/>
  <c r="BE10" i="12"/>
  <c r="BD10" i="12"/>
  <c r="BC10" i="12"/>
  <c r="AZ10" i="12"/>
  <c r="BA10" i="12" s="1"/>
  <c r="BB10" i="12" s="1"/>
  <c r="AY10" i="12"/>
  <c r="BX10" i="12" s="1"/>
  <c r="AX10" i="12"/>
  <c r="BW10" i="12" s="1"/>
  <c r="AW10" i="12"/>
  <c r="BV10" i="12" s="1"/>
  <c r="AV10" i="12"/>
  <c r="BU10" i="12" s="1"/>
  <c r="AU10" i="12"/>
  <c r="BT10" i="12" s="1"/>
  <c r="AT10" i="12"/>
  <c r="BS10" i="12" s="1"/>
  <c r="AS10" i="12"/>
  <c r="BR10" i="12" s="1"/>
  <c r="AR10" i="12"/>
  <c r="BQ10" i="12" s="1"/>
  <c r="AQ10" i="12"/>
  <c r="BP10" i="12" s="1"/>
  <c r="AP10" i="12"/>
  <c r="BO10" i="12" s="1"/>
  <c r="AO10" i="12"/>
  <c r="BN10" i="12" s="1"/>
  <c r="AN10" i="12"/>
  <c r="BM10" i="12" s="1"/>
  <c r="AM10" i="12"/>
  <c r="BL10" i="12" s="1"/>
  <c r="AL10" i="12"/>
  <c r="BK10" i="12" s="1"/>
  <c r="AK10" i="12"/>
  <c r="BJ10" i="12" s="1"/>
  <c r="AJ10" i="12"/>
  <c r="BI10" i="12" s="1"/>
  <c r="AI10" i="12"/>
  <c r="BH10" i="12" s="1"/>
  <c r="AH10" i="12"/>
  <c r="BG10" i="12" s="1"/>
  <c r="AG10" i="12"/>
  <c r="BF10" i="12" s="1"/>
  <c r="BG8" i="12"/>
  <c r="BF8" i="12"/>
  <c r="BE8" i="12"/>
  <c r="BD8" i="12"/>
  <c r="BC8" i="12"/>
  <c r="AZ8" i="12"/>
  <c r="BA8" i="12" s="1"/>
  <c r="BB8" i="12" s="1"/>
  <c r="AY8" i="12"/>
  <c r="BX8" i="12" s="1"/>
  <c r="AX8" i="12"/>
  <c r="BW8" i="12" s="1"/>
  <c r="AW8" i="12"/>
  <c r="BV8" i="12" s="1"/>
  <c r="AV8" i="12"/>
  <c r="BU8" i="12" s="1"/>
  <c r="AU8" i="12"/>
  <c r="BT8" i="12" s="1"/>
  <c r="AT8" i="12"/>
  <c r="BS8" i="12" s="1"/>
  <c r="AS8" i="12"/>
  <c r="BR8" i="12" s="1"/>
  <c r="AR8" i="12"/>
  <c r="BQ8" i="12" s="1"/>
  <c r="AQ8" i="12"/>
  <c r="BP8" i="12" s="1"/>
  <c r="AP8" i="12"/>
  <c r="BO8" i="12" s="1"/>
  <c r="AO8" i="12"/>
  <c r="BN8" i="12" s="1"/>
  <c r="AN8" i="12"/>
  <c r="BM8" i="12" s="1"/>
  <c r="AM8" i="12"/>
  <c r="BL8" i="12" s="1"/>
  <c r="AL8" i="12"/>
  <c r="BK8" i="12" s="1"/>
  <c r="AK8" i="12"/>
  <c r="BJ8" i="12" s="1"/>
  <c r="AJ8" i="12"/>
  <c r="BI8" i="12" s="1"/>
  <c r="AI8" i="12"/>
  <c r="BH8" i="12" s="1"/>
  <c r="BC6" i="12"/>
  <c r="AZ6" i="12"/>
  <c r="BA6" i="12" s="1"/>
  <c r="BB6" i="12" s="1"/>
  <c r="AY6" i="12"/>
  <c r="BX6" i="12" s="1"/>
  <c r="AX6" i="12"/>
  <c r="BW6" i="12" s="1"/>
  <c r="AW6" i="12"/>
  <c r="BV6" i="12" s="1"/>
  <c r="AV6" i="12"/>
  <c r="BU6" i="12" s="1"/>
  <c r="AU6" i="12"/>
  <c r="BT6" i="12" s="1"/>
  <c r="AT6" i="12"/>
  <c r="BS6" i="12" s="1"/>
  <c r="AS6" i="12"/>
  <c r="BR6" i="12" s="1"/>
  <c r="AR6" i="12"/>
  <c r="BQ6" i="12" s="1"/>
  <c r="AQ6" i="12"/>
  <c r="BP6" i="12" s="1"/>
  <c r="AP6" i="12"/>
  <c r="BO6" i="12" s="1"/>
  <c r="AO6" i="12"/>
  <c r="BN6" i="12" s="1"/>
  <c r="AN6" i="12"/>
  <c r="BM6" i="12" s="1"/>
  <c r="AM6" i="12"/>
  <c r="BL6" i="12" s="1"/>
  <c r="AL6" i="12"/>
  <c r="BK6" i="12" s="1"/>
  <c r="AK6" i="12"/>
  <c r="BJ6" i="12" s="1"/>
  <c r="AJ6" i="12"/>
  <c r="BI6" i="12" s="1"/>
  <c r="AI6" i="12"/>
  <c r="BH6" i="12" s="1"/>
  <c r="AH6" i="12"/>
  <c r="BG6" i="12" s="1"/>
  <c r="AG6" i="12"/>
  <c r="BF6" i="12" s="1"/>
  <c r="AF6" i="12"/>
  <c r="BE6" i="12" s="1"/>
  <c r="AE6" i="12"/>
  <c r="BD6" i="12" s="1"/>
  <c r="BX5" i="12"/>
  <c r="BW5" i="12"/>
  <c r="BV5" i="12"/>
  <c r="BU5" i="12"/>
  <c r="BT5" i="12"/>
  <c r="BS5" i="12"/>
  <c r="BR5" i="12"/>
  <c r="BQ5" i="12"/>
  <c r="BP5" i="12"/>
  <c r="BO5" i="12"/>
  <c r="BN5" i="12"/>
  <c r="BM5" i="12"/>
  <c r="BL5" i="12"/>
  <c r="BK5" i="12"/>
  <c r="BJ5" i="12"/>
  <c r="BI5" i="12"/>
  <c r="BH5" i="12"/>
  <c r="BG5" i="12"/>
  <c r="BF5" i="12"/>
  <c r="BE5" i="12"/>
  <c r="BD5" i="12"/>
  <c r="BC5" i="12"/>
  <c r="W2" i="12"/>
  <c r="AE2" i="12" s="1"/>
  <c r="V2" i="12"/>
  <c r="AD2" i="12" s="1"/>
  <c r="U2" i="12"/>
  <c r="AC2" i="12" s="1"/>
  <c r="T2" i="12"/>
  <c r="AB2" i="12" s="1"/>
  <c r="S2" i="12"/>
  <c r="AA2" i="12" s="1"/>
  <c r="R2" i="12"/>
  <c r="Z2" i="12" s="1"/>
  <c r="Q2" i="12"/>
  <c r="Y2" i="12" s="1"/>
  <c r="AG2" i="12" s="1"/>
  <c r="P2" i="12"/>
  <c r="X2" i="12" s="1"/>
  <c r="AF2" i="12" s="1"/>
  <c r="CV22" i="12"/>
  <c r="CR22" i="12"/>
  <c r="CN22" i="12"/>
  <c r="CJ22" i="12"/>
  <c r="CF22" i="12"/>
  <c r="CB22" i="12"/>
  <c r="CP22" i="12"/>
  <c r="CC22" i="12"/>
  <c r="CU22" i="12"/>
  <c r="CQ22" i="12"/>
  <c r="CM22" i="12"/>
  <c r="CO22" i="12"/>
  <c r="CI22" i="12"/>
  <c r="CE22" i="12"/>
  <c r="CL22" i="12"/>
  <c r="CT22" i="12"/>
  <c r="CS22" i="12"/>
  <c r="CG22" i="12"/>
  <c r="CH22" i="12"/>
  <c r="CD22" i="12"/>
  <c r="CW22" i="12"/>
  <c r="CK22" i="12"/>
  <c r="CO20" i="12" l="1"/>
  <c r="DK20" i="12" s="1"/>
  <c r="CP20" i="12" s="1"/>
  <c r="BD16" i="12"/>
  <c r="AE18" i="12"/>
  <c r="BD18" i="12" s="1"/>
  <c r="EF20" i="12"/>
  <c r="BY10" i="12"/>
  <c r="BZ10" i="12" s="1"/>
  <c r="A22" i="12"/>
  <c r="B22" i="12" s="1"/>
  <c r="AW14" i="12"/>
  <c r="BV14" i="12" s="1"/>
  <c r="AK14" i="12"/>
  <c r="BJ14" i="12" s="1"/>
  <c r="AV14" i="12"/>
  <c r="BU14" i="12" s="1"/>
  <c r="AJ14" i="12"/>
  <c r="BI14" i="12" s="1"/>
  <c r="AU14" i="12"/>
  <c r="BT14" i="12" s="1"/>
  <c r="AI14" i="12"/>
  <c r="BH14" i="12" s="1"/>
  <c r="AT14" i="12"/>
  <c r="BS14" i="12" s="1"/>
  <c r="AH14" i="12"/>
  <c r="BG14" i="12" s="1"/>
  <c r="AS14" i="12"/>
  <c r="BR14" i="12" s="1"/>
  <c r="AG14" i="12"/>
  <c r="BF14" i="12" s="1"/>
  <c r="AR14" i="12"/>
  <c r="BQ14" i="12" s="1"/>
  <c r="AF14" i="12"/>
  <c r="BE14" i="12" s="1"/>
  <c r="AQ14" i="12"/>
  <c r="BP14" i="12" s="1"/>
  <c r="AE14" i="12"/>
  <c r="BD14" i="12" s="1"/>
  <c r="AP14" i="12"/>
  <c r="BO14" i="12" s="1"/>
  <c r="BB14" i="12"/>
  <c r="AD14" i="12"/>
  <c r="BC14" i="12" s="1"/>
  <c r="BA14" i="12"/>
  <c r="AO14" i="12"/>
  <c r="BN14" i="12" s="1"/>
  <c r="AL14" i="12"/>
  <c r="BK14" i="12" s="1"/>
  <c r="AZ14" i="12"/>
  <c r="AN14" i="12"/>
  <c r="BM14" i="12" s="1"/>
  <c r="AY14" i="12"/>
  <c r="BX14" i="12" s="1"/>
  <c r="AM14" i="12"/>
  <c r="BL14" i="12" s="1"/>
  <c r="AX14" i="12"/>
  <c r="BW14" i="12" s="1"/>
  <c r="BY6" i="12"/>
  <c r="BY8" i="12"/>
  <c r="BA12" i="12"/>
  <c r="AO12" i="12"/>
  <c r="BN12" i="12" s="1"/>
  <c r="AZ12" i="12"/>
  <c r="AN12" i="12"/>
  <c r="BM12" i="12" s="1"/>
  <c r="AY12" i="12"/>
  <c r="BX12" i="12" s="1"/>
  <c r="AM12" i="12"/>
  <c r="BL12" i="12" s="1"/>
  <c r="AX12" i="12"/>
  <c r="BW12" i="12" s="1"/>
  <c r="AL12" i="12"/>
  <c r="BK12" i="12" s="1"/>
  <c r="AW12" i="12"/>
  <c r="BV12" i="12" s="1"/>
  <c r="AK12" i="12"/>
  <c r="BJ12" i="12" s="1"/>
  <c r="AV12" i="12"/>
  <c r="BU12" i="12" s="1"/>
  <c r="AJ12" i="12"/>
  <c r="BI12" i="12" s="1"/>
  <c r="AU12" i="12"/>
  <c r="BT12" i="12" s="1"/>
  <c r="AI12" i="12"/>
  <c r="BH12" i="12" s="1"/>
  <c r="AT12" i="12"/>
  <c r="BS12" i="12" s="1"/>
  <c r="AH12" i="12"/>
  <c r="BG12" i="12" s="1"/>
  <c r="AS12" i="12"/>
  <c r="BR12" i="12" s="1"/>
  <c r="AG12" i="12"/>
  <c r="BF12" i="12" s="1"/>
  <c r="AR12" i="12"/>
  <c r="BQ12" i="12" s="1"/>
  <c r="AF12" i="12"/>
  <c r="BE12" i="12" s="1"/>
  <c r="AD12" i="12"/>
  <c r="BC12" i="12" s="1"/>
  <c r="AP12" i="12"/>
  <c r="BO12" i="12" s="1"/>
  <c r="AQ12" i="12"/>
  <c r="BP12" i="12" s="1"/>
  <c r="AE12" i="12"/>
  <c r="BD12" i="12" s="1"/>
  <c r="BB12" i="12"/>
  <c r="AQ20" i="12"/>
  <c r="BP20" i="12" s="1"/>
  <c r="CY18" i="12"/>
  <c r="CD18" i="12" s="1"/>
  <c r="AG16" i="12"/>
  <c r="X4" i="10"/>
  <c r="Y4" i="10"/>
  <c r="Z4" i="10"/>
  <c r="AA4" i="10"/>
  <c r="W4" i="10"/>
  <c r="V4" i="10"/>
  <c r="R4" i="10"/>
  <c r="S4" i="10"/>
  <c r="T4" i="10"/>
  <c r="U4" i="10"/>
  <c r="Q4" i="10"/>
  <c r="P30" i="10"/>
  <c r="P43" i="10"/>
  <c r="P32" i="10"/>
  <c r="P44" i="10"/>
  <c r="P35" i="10"/>
  <c r="P47" i="10"/>
  <c r="P39" i="10"/>
  <c r="P51" i="10"/>
  <c r="P31" i="10"/>
  <c r="P40" i="10"/>
  <c r="P41" i="10"/>
  <c r="P42" i="10"/>
  <c r="P33" i="10"/>
  <c r="P45" i="10"/>
  <c r="P34" i="10"/>
  <c r="P46" i="10"/>
  <c r="P48" i="10"/>
  <c r="P37" i="10"/>
  <c r="P38" i="10"/>
  <c r="P52" i="10"/>
  <c r="P28" i="10"/>
  <c r="P22" i="10"/>
  <c r="P36" i="10"/>
  <c r="P49" i="10"/>
  <c r="P50" i="10"/>
  <c r="CA10" i="12" l="1"/>
  <c r="EG20" i="12"/>
  <c r="AF18" i="12"/>
  <c r="BE18" i="12" s="1"/>
  <c r="DL20" i="12"/>
  <c r="CQ20" i="12" s="1"/>
  <c r="EH20" i="12"/>
  <c r="CA6" i="12"/>
  <c r="BZ6" i="12"/>
  <c r="AR20" i="12"/>
  <c r="BQ20" i="12" s="1"/>
  <c r="CZ18" i="12"/>
  <c r="CE18" i="12" s="1"/>
  <c r="BF16" i="12"/>
  <c r="AH16" i="12"/>
  <c r="BY14" i="12"/>
  <c r="BY12" i="12"/>
  <c r="CA8" i="12"/>
  <c r="BZ8" i="12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K22" i="10"/>
  <c r="K20" i="10"/>
  <c r="N5" i="10" a="1"/>
  <c r="N5" i="10" s="1"/>
  <c r="N6" i="10" a="1"/>
  <c r="N6" i="10" s="1"/>
  <c r="N7" i="10" a="1"/>
  <c r="N7" i="10" s="1"/>
  <c r="N8" i="10" a="1"/>
  <c r="N8" i="10" s="1"/>
  <c r="N9" i="10" a="1"/>
  <c r="N9" i="10" s="1"/>
  <c r="N10" i="10" a="1"/>
  <c r="N10" i="10" s="1"/>
  <c r="N11" i="10" a="1"/>
  <c r="N11" i="10" s="1"/>
  <c r="N12" i="10" a="1"/>
  <c r="N12" i="10" s="1"/>
  <c r="N13" i="10" a="1"/>
  <c r="N13" i="10" s="1"/>
  <c r="N14" i="10" a="1"/>
  <c r="N14" i="10" s="1"/>
  <c r="N15" i="10" a="1"/>
  <c r="N15" i="10" s="1"/>
  <c r="N16" i="10" a="1"/>
  <c r="N16" i="10" s="1"/>
  <c r="N4" i="10" a="1"/>
  <c r="N4" i="10" s="1"/>
  <c r="M16" i="10" a="1"/>
  <c r="M16" i="10" s="1"/>
  <c r="M5" i="10" a="1"/>
  <c r="M5" i="10" s="1"/>
  <c r="M6" i="10" a="1"/>
  <c r="M6" i="10" s="1"/>
  <c r="M7" i="10" a="1"/>
  <c r="M7" i="10" s="1"/>
  <c r="M8" i="10" a="1"/>
  <c r="M8" i="10" s="1"/>
  <c r="M9" i="10" a="1"/>
  <c r="M9" i="10" s="1"/>
  <c r="M10" i="10" a="1"/>
  <c r="M10" i="10" s="1"/>
  <c r="M11" i="10" a="1"/>
  <c r="M11" i="10" s="1"/>
  <c r="M12" i="10" a="1"/>
  <c r="M12" i="10" s="1"/>
  <c r="M13" i="10" a="1"/>
  <c r="M13" i="10" s="1"/>
  <c r="M14" i="10" a="1"/>
  <c r="M14" i="10" s="1"/>
  <c r="M15" i="10" a="1"/>
  <c r="M15" i="10" s="1"/>
  <c r="M4" i="10" a="1"/>
  <c r="M4" i="10" s="1"/>
  <c r="I4" i="10"/>
  <c r="H4" i="10"/>
  <c r="F8" i="10"/>
  <c r="F9" i="10"/>
  <c r="F10" i="10"/>
  <c r="F11" i="10"/>
  <c r="F12" i="10"/>
  <c r="F13" i="10"/>
  <c r="F14" i="10"/>
  <c r="F15" i="10"/>
  <c r="F16" i="10"/>
  <c r="F7" i="10"/>
  <c r="E8" i="10"/>
  <c r="E9" i="10"/>
  <c r="E10" i="10"/>
  <c r="E11" i="10"/>
  <c r="E12" i="10"/>
  <c r="E13" i="10"/>
  <c r="E14" i="10"/>
  <c r="E15" i="10"/>
  <c r="E16" i="10"/>
  <c r="E7" i="10"/>
  <c r="D6" i="10"/>
  <c r="G6" i="10" s="1"/>
  <c r="G7" i="10" s="1"/>
  <c r="G8" i="10" s="1"/>
  <c r="G9" i="10" s="1"/>
  <c r="G10" i="10" s="1"/>
  <c r="G11" i="10" s="1"/>
  <c r="G12" i="10" s="1"/>
  <c r="G13" i="10" s="1"/>
  <c r="G14" i="10" s="1"/>
  <c r="G15" i="10" s="1"/>
  <c r="G16" i="10" s="1"/>
  <c r="D7" i="10"/>
  <c r="D8" i="10"/>
  <c r="D9" i="10"/>
  <c r="D10" i="10"/>
  <c r="D11" i="10"/>
  <c r="D12" i="10"/>
  <c r="D13" i="10"/>
  <c r="D14" i="10"/>
  <c r="D15" i="10"/>
  <c r="D16" i="10"/>
  <c r="D5" i="10"/>
  <c r="C6" i="10"/>
  <c r="C7" i="10"/>
  <c r="C8" i="10"/>
  <c r="C9" i="10"/>
  <c r="C10" i="10"/>
  <c r="C11" i="10"/>
  <c r="C12" i="10"/>
  <c r="C13" i="10"/>
  <c r="C14" i="10"/>
  <c r="C15" i="10"/>
  <c r="C16" i="10"/>
  <c r="C5" i="10"/>
  <c r="P15" i="10"/>
  <c r="O9" i="10"/>
  <c r="O8" i="10"/>
  <c r="O13" i="10"/>
  <c r="O7" i="10"/>
  <c r="O12" i="10"/>
  <c r="P10" i="10"/>
  <c r="P12" i="10"/>
  <c r="O10" i="10"/>
  <c r="P23" i="10"/>
  <c r="P6" i="10"/>
  <c r="O14" i="10"/>
  <c r="O15" i="10"/>
  <c r="P16" i="10"/>
  <c r="O11" i="10"/>
  <c r="O6" i="10"/>
  <c r="P13" i="10"/>
  <c r="P7" i="10"/>
  <c r="P24" i="10"/>
  <c r="P8" i="10"/>
  <c r="P9" i="10"/>
  <c r="P11" i="10"/>
  <c r="P14" i="10"/>
  <c r="O16" i="10"/>
  <c r="AJ22" i="12"/>
  <c r="AM22" i="12"/>
  <c r="AN22" i="12"/>
  <c r="AX22" i="12"/>
  <c r="AI22" i="12"/>
  <c r="AQ22" i="12"/>
  <c r="AT22" i="12"/>
  <c r="AP22" i="12"/>
  <c r="AF22" i="12"/>
  <c r="AH22" i="12"/>
  <c r="AW22" i="12"/>
  <c r="AK22" i="12"/>
  <c r="BB22" i="12"/>
  <c r="AZ22" i="12"/>
  <c r="BA22" i="12"/>
  <c r="AY22" i="12"/>
  <c r="AO22" i="12"/>
  <c r="AE22" i="12"/>
  <c r="AR22" i="12"/>
  <c r="AU22" i="12"/>
  <c r="AS22" i="12"/>
  <c r="AV22" i="12"/>
  <c r="AL22" i="12"/>
  <c r="AD22" i="12"/>
  <c r="AG22" i="12"/>
  <c r="X5" i="10" l="1"/>
  <c r="Y5" i="10"/>
  <c r="Z5" i="10"/>
  <c r="AA5" i="10"/>
  <c r="X15" i="10"/>
  <c r="Z15" i="10"/>
  <c r="Y15" i="10"/>
  <c r="AA15" i="10"/>
  <c r="X13" i="10"/>
  <c r="Y13" i="10"/>
  <c r="Z13" i="10"/>
  <c r="AA13" i="10"/>
  <c r="X14" i="10"/>
  <c r="Y14" i="10"/>
  <c r="AA14" i="10"/>
  <c r="Z14" i="10"/>
  <c r="Y12" i="10"/>
  <c r="Z12" i="10"/>
  <c r="AA12" i="10"/>
  <c r="X12" i="10"/>
  <c r="AA11" i="10"/>
  <c r="Z11" i="10"/>
  <c r="X11" i="10"/>
  <c r="Y11" i="10"/>
  <c r="X8" i="10"/>
  <c r="Y8" i="10"/>
  <c r="Z8" i="10"/>
  <c r="AA8" i="10"/>
  <c r="AG18" i="12"/>
  <c r="BF18" i="12" s="1"/>
  <c r="X10" i="10"/>
  <c r="Y10" i="10"/>
  <c r="AA10" i="10"/>
  <c r="Z10" i="10"/>
  <c r="Y9" i="10"/>
  <c r="Z9" i="10"/>
  <c r="X9" i="10"/>
  <c r="AA9" i="10"/>
  <c r="X7" i="10"/>
  <c r="Z7" i="10"/>
  <c r="AA7" i="10"/>
  <c r="Y7" i="10"/>
  <c r="AA6" i="10"/>
  <c r="X6" i="10"/>
  <c r="Y6" i="10"/>
  <c r="Z6" i="10"/>
  <c r="BP22" i="12"/>
  <c r="BW22" i="12"/>
  <c r="BF22" i="12"/>
  <c r="BR22" i="12"/>
  <c r="BX22" i="12"/>
  <c r="BG22" i="12"/>
  <c r="BM22" i="12"/>
  <c r="BS22" i="12"/>
  <c r="BH22" i="12"/>
  <c r="BN22" i="12"/>
  <c r="BC22" i="12"/>
  <c r="BT22" i="12"/>
  <c r="BE22" i="12"/>
  <c r="BL22" i="12"/>
  <c r="BU22" i="12"/>
  <c r="BV22" i="12"/>
  <c r="BK22" i="12"/>
  <c r="BQ22" i="12"/>
  <c r="BO22" i="12"/>
  <c r="BI22" i="12"/>
  <c r="BD22" i="12"/>
  <c r="BJ22" i="12"/>
  <c r="DM20" i="12"/>
  <c r="AT20" i="12" s="1"/>
  <c r="BS20" i="12" s="1"/>
  <c r="EI20" i="12"/>
  <c r="CA12" i="12"/>
  <c r="BZ12" i="12"/>
  <c r="BG16" i="12"/>
  <c r="AI16" i="12"/>
  <c r="DA18" i="12"/>
  <c r="AH18" i="12" s="1"/>
  <c r="BG18" i="12" s="1"/>
  <c r="CA14" i="12"/>
  <c r="BZ14" i="12"/>
  <c r="AS20" i="12"/>
  <c r="BR20" i="12" s="1"/>
  <c r="R6" i="10"/>
  <c r="S6" i="10"/>
  <c r="T6" i="10"/>
  <c r="U6" i="10"/>
  <c r="Q6" i="10"/>
  <c r="S14" i="10"/>
  <c r="Q14" i="10"/>
  <c r="T14" i="10"/>
  <c r="U14" i="10"/>
  <c r="R14" i="10"/>
  <c r="R12" i="10"/>
  <c r="S12" i="10"/>
  <c r="Q12" i="10"/>
  <c r="T12" i="10"/>
  <c r="U12" i="10"/>
  <c r="S13" i="10"/>
  <c r="T13" i="10"/>
  <c r="Q13" i="10"/>
  <c r="U13" i="10"/>
  <c r="R13" i="10"/>
  <c r="S11" i="10"/>
  <c r="U11" i="10"/>
  <c r="T11" i="10"/>
  <c r="Q11" i="10"/>
  <c r="R11" i="10"/>
  <c r="Q10" i="10"/>
  <c r="U10" i="10"/>
  <c r="T10" i="10"/>
  <c r="R10" i="10"/>
  <c r="S10" i="10"/>
  <c r="S5" i="10"/>
  <c r="U5" i="10"/>
  <c r="T5" i="10"/>
  <c r="Q5" i="10"/>
  <c r="R5" i="10"/>
  <c r="S9" i="10"/>
  <c r="T9" i="10"/>
  <c r="Q9" i="10"/>
  <c r="R9" i="10"/>
  <c r="U9" i="10"/>
  <c r="T15" i="10"/>
  <c r="R15" i="10"/>
  <c r="S15" i="10"/>
  <c r="Q15" i="10"/>
  <c r="U15" i="10"/>
  <c r="S8" i="10"/>
  <c r="R8" i="10"/>
  <c r="T8" i="10"/>
  <c r="U8" i="10"/>
  <c r="Q8" i="10"/>
  <c r="S7" i="10"/>
  <c r="T7" i="10"/>
  <c r="Q7" i="10"/>
  <c r="R7" i="10"/>
  <c r="U7" i="10"/>
  <c r="W12" i="10"/>
  <c r="W10" i="10"/>
  <c r="W11" i="10"/>
  <c r="W9" i="10"/>
  <c r="W7" i="10"/>
  <c r="W6" i="10"/>
  <c r="W8" i="10"/>
  <c r="W15" i="10"/>
  <c r="W14" i="10"/>
  <c r="W13" i="10"/>
  <c r="P25" i="10"/>
  <c r="P26" i="10" s="1"/>
  <c r="H5" i="10"/>
  <c r="I5" i="10" s="1"/>
  <c r="H6" i="10" s="1"/>
  <c r="I6" i="10" s="1"/>
  <c r="H7" i="10" s="1"/>
  <c r="J5" i="10"/>
  <c r="V5" i="10" s="1"/>
  <c r="CR20" i="12" l="1"/>
  <c r="DN20" i="12" s="1"/>
  <c r="CS20" i="12" s="1"/>
  <c r="Y16" i="10"/>
  <c r="Y17" i="10" s="1"/>
  <c r="X16" i="10"/>
  <c r="X17" i="10" s="1"/>
  <c r="Q16" i="10"/>
  <c r="Q17" i="10" s="1"/>
  <c r="CF18" i="12"/>
  <c r="DB18" i="12" s="1"/>
  <c r="AI18" i="12" s="1"/>
  <c r="BH18" i="12" s="1"/>
  <c r="T16" i="10"/>
  <c r="T17" i="10" s="1"/>
  <c r="BY22" i="12"/>
  <c r="BH16" i="12"/>
  <c r="AJ16" i="12"/>
  <c r="S16" i="10"/>
  <c r="S17" i="10" s="1"/>
  <c r="R16" i="10"/>
  <c r="R17" i="10" s="1"/>
  <c r="W16" i="10"/>
  <c r="W17" i="10" s="1"/>
  <c r="J6" i="10"/>
  <c r="V6" i="10" s="1"/>
  <c r="Z16" i="10"/>
  <c r="Z17" i="10" s="1"/>
  <c r="AA16" i="10"/>
  <c r="AA17" i="10" s="1"/>
  <c r="U16" i="10"/>
  <c r="U17" i="10" s="1"/>
  <c r="J7" i="10"/>
  <c r="V7" i="10" s="1"/>
  <c r="I7" i="10"/>
  <c r="H8" i="10" s="1"/>
  <c r="I8" i="10" s="1"/>
  <c r="H9" i="10" s="1"/>
  <c r="EJ20" i="12" l="1"/>
  <c r="CG18" i="12"/>
  <c r="DC18" i="12" s="1"/>
  <c r="CH18" i="12" s="1"/>
  <c r="DO20" i="12"/>
  <c r="CT20" i="12" s="1"/>
  <c r="EK20" i="12"/>
  <c r="AU20" i="12"/>
  <c r="BT20" i="12" s="1"/>
  <c r="CA22" i="12"/>
  <c r="BZ22" i="12"/>
  <c r="BI16" i="12"/>
  <c r="AK16" i="12"/>
  <c r="J9" i="10"/>
  <c r="V9" i="10" s="1"/>
  <c r="J8" i="10"/>
  <c r="V8" i="10" s="1"/>
  <c r="I9" i="10"/>
  <c r="H10" i="10" s="1"/>
  <c r="DP20" i="12" l="1"/>
  <c r="AW20" i="12" s="1"/>
  <c r="BV20" i="12" s="1"/>
  <c r="EL20" i="12"/>
  <c r="DD18" i="12"/>
  <c r="CI18" i="12" s="1"/>
  <c r="AV20" i="12"/>
  <c r="BU20" i="12" s="1"/>
  <c r="BJ16" i="12"/>
  <c r="AL16" i="12"/>
  <c r="AJ18" i="12"/>
  <c r="BI18" i="12" s="1"/>
  <c r="J10" i="10"/>
  <c r="V10" i="10" s="1"/>
  <c r="I10" i="10"/>
  <c r="H11" i="10" s="1"/>
  <c r="AK18" i="12" l="1"/>
  <c r="BJ18" i="12" s="1"/>
  <c r="DE18" i="12"/>
  <c r="AL18" i="12" s="1"/>
  <c r="BK18" i="12" s="1"/>
  <c r="CU20" i="12"/>
  <c r="BK16" i="12"/>
  <c r="AM16" i="12"/>
  <c r="J11" i="10"/>
  <c r="V11" i="10" s="1"/>
  <c r="I11" i="10"/>
  <c r="J12" i="10" s="1"/>
  <c r="V12" i="10" s="1"/>
  <c r="CJ18" i="12" l="1"/>
  <c r="BL16" i="12"/>
  <c r="AN16" i="12"/>
  <c r="DQ20" i="12"/>
  <c r="AX20" i="12" s="1"/>
  <c r="BW20" i="12" s="1"/>
  <c r="EM20" i="12"/>
  <c r="H12" i="10"/>
  <c r="I12" i="10" s="1"/>
  <c r="H13" i="10" s="1"/>
  <c r="CV20" i="12" l="1"/>
  <c r="EN20" i="12" s="1"/>
  <c r="BM16" i="12"/>
  <c r="AO16" i="12"/>
  <c r="DF18" i="12"/>
  <c r="CK18" i="12" s="1"/>
  <c r="J13" i="10"/>
  <c r="V13" i="10" s="1"/>
  <c r="I13" i="10"/>
  <c r="H14" i="10" s="1"/>
  <c r="DR20" i="12" l="1"/>
  <c r="CW20" i="12" s="1"/>
  <c r="EO20" i="12" s="1"/>
  <c r="DG18" i="12"/>
  <c r="CL18" i="12" s="1"/>
  <c r="AM18" i="12"/>
  <c r="BL18" i="12" s="1"/>
  <c r="BN16" i="12"/>
  <c r="AP16" i="12"/>
  <c r="J14" i="10"/>
  <c r="V14" i="10" s="1"/>
  <c r="I14" i="10"/>
  <c r="H15" i="10" s="1"/>
  <c r="AY20" i="12" l="1"/>
  <c r="BX20" i="12" s="1"/>
  <c r="BY20" i="12" s="1"/>
  <c r="CA20" i="12" s="1"/>
  <c r="DS20" i="12"/>
  <c r="DH18" i="12"/>
  <c r="CM18" i="12" s="1"/>
  <c r="BO16" i="12"/>
  <c r="AQ16" i="12"/>
  <c r="AN18" i="12"/>
  <c r="BM18" i="12" s="1"/>
  <c r="I15" i="10"/>
  <c r="J16" i="10" s="1"/>
  <c r="J15" i="10"/>
  <c r="BA20" i="12" l="1"/>
  <c r="AZ20" i="12"/>
  <c r="BZ20" i="12" s="1"/>
  <c r="BB20" i="12"/>
  <c r="DI18" i="12"/>
  <c r="CN18" i="12" s="1"/>
  <c r="BP16" i="12"/>
  <c r="AR16" i="12"/>
  <c r="AO18" i="12"/>
  <c r="BN18" i="12" s="1"/>
  <c r="V15" i="10"/>
  <c r="V16" i="10" s="1"/>
  <c r="V17" i="10" s="1"/>
  <c r="AP18" i="12" l="1"/>
  <c r="BO18" i="12" s="1"/>
  <c r="BQ16" i="12"/>
  <c r="AS16" i="12"/>
  <c r="DJ18" i="12"/>
  <c r="CO18" i="12" s="1"/>
  <c r="DK18" i="12" l="1"/>
  <c r="AR18" i="12" s="1"/>
  <c r="BQ18" i="12" s="1"/>
  <c r="AQ18" i="12"/>
  <c r="BP18" i="12" s="1"/>
  <c r="BR16" i="12"/>
  <c r="AT16" i="12"/>
  <c r="CP18" i="12" l="1"/>
  <c r="DL18" i="12" s="1"/>
  <c r="CQ18" i="12" s="1"/>
  <c r="BS16" i="12"/>
  <c r="AU16" i="12"/>
  <c r="DM18" i="12" l="1"/>
  <c r="AT18" i="12" s="1"/>
  <c r="BS18" i="12" s="1"/>
  <c r="AS18" i="12"/>
  <c r="BR18" i="12" s="1"/>
  <c r="BT16" i="12"/>
  <c r="AV16" i="12"/>
  <c r="BU16" i="12" l="1"/>
  <c r="AW16" i="12"/>
  <c r="CR18" i="12"/>
  <c r="BV16" i="12" l="1"/>
  <c r="AX16" i="12"/>
  <c r="DN18" i="12"/>
  <c r="AU18" i="12" s="1"/>
  <c r="BT18" i="12" s="1"/>
  <c r="CS18" i="12" l="1"/>
  <c r="DO18" i="12" s="1"/>
  <c r="CT18" i="12" s="1"/>
  <c r="BW16" i="12"/>
  <c r="AY16" i="12"/>
  <c r="DP18" i="12" l="1"/>
  <c r="AW18" i="12" s="1"/>
  <c r="BV18" i="12" s="1"/>
  <c r="BX16" i="12"/>
  <c r="BY16" i="12" s="1"/>
  <c r="AZ16" i="12"/>
  <c r="BA16" i="12" s="1"/>
  <c r="BB16" i="12" s="1"/>
  <c r="AV18" i="12"/>
  <c r="BU18" i="12" s="1"/>
  <c r="CU18" i="12" l="1"/>
  <c r="DQ18" i="12" s="1"/>
  <c r="AX18" i="12" s="1"/>
  <c r="BW18" i="12" s="1"/>
  <c r="CA16" i="12"/>
  <c r="BZ16" i="12"/>
  <c r="CV18" i="12" l="1"/>
  <c r="DR18" i="12" s="1"/>
  <c r="CW18" i="12" s="1"/>
  <c r="AY18" i="12" l="1"/>
  <c r="BX18" i="12" s="1"/>
  <c r="BY18" i="12" s="1"/>
  <c r="CA18" i="12" s="1"/>
  <c r="DS18" i="12"/>
  <c r="BA18" i="12" s="1"/>
  <c r="BB18" i="12" l="1"/>
  <c r="AZ18" i="12"/>
  <c r="BZ18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<sst xmlns="http://schemas.openxmlformats.org/spreadsheetml/2006/main" count="237" uniqueCount="105">
  <si>
    <t>w1</t>
  </si>
  <si>
    <t>w2</t>
  </si>
  <si>
    <t>w3</t>
  </si>
  <si>
    <t>α</t>
  </si>
  <si>
    <t>β</t>
  </si>
  <si>
    <t>s*</t>
  </si>
  <si>
    <t xml:space="preserve">Model Browna </t>
  </si>
  <si>
    <r>
      <t>R</t>
    </r>
    <r>
      <rPr>
        <b/>
        <vertAlign val="superscript"/>
        <sz val="11"/>
        <color theme="1"/>
        <rFont val="Arial"/>
        <family val="2"/>
        <charset val="238"/>
      </rPr>
      <t>2</t>
    </r>
  </si>
  <si>
    <t>Model Holta</t>
  </si>
  <si>
    <t>Ft</t>
  </si>
  <si>
    <t>St</t>
  </si>
  <si>
    <t>beta</t>
  </si>
  <si>
    <t>gamma</t>
  </si>
  <si>
    <t>RMSE</t>
  </si>
  <si>
    <t>Min RMSE</t>
  </si>
  <si>
    <t>PROGNOZA</t>
  </si>
  <si>
    <t>RMSE %</t>
  </si>
  <si>
    <t>Model</t>
  </si>
  <si>
    <t>Index</t>
  </si>
  <si>
    <t>P+1</t>
  </si>
  <si>
    <t>P+2</t>
  </si>
  <si>
    <t>P+3</t>
  </si>
  <si>
    <t>2078344</t>
  </si>
  <si>
    <t>W1</t>
  </si>
  <si>
    <t>W2</t>
  </si>
  <si>
    <t>W3</t>
  </si>
  <si>
    <t>W4</t>
  </si>
  <si>
    <t>W5</t>
  </si>
  <si>
    <t>a</t>
  </si>
  <si>
    <t>b</t>
  </si>
  <si>
    <t>a II met</t>
  </si>
  <si>
    <t>b II met</t>
  </si>
  <si>
    <t>Trend</t>
  </si>
  <si>
    <t>Wskaźnik sezonowości</t>
  </si>
  <si>
    <t>Min SMAPE</t>
  </si>
  <si>
    <t>LP</t>
  </si>
  <si>
    <t>Forecasts</t>
  </si>
  <si>
    <r>
      <t>Forecast errors q</t>
    </r>
    <r>
      <rPr>
        <b/>
        <vertAlign val="subscript"/>
        <sz val="11"/>
        <color theme="1"/>
        <rFont val="Arial"/>
        <family val="2"/>
        <charset val="238"/>
      </rPr>
      <t>t</t>
    </r>
    <r>
      <rPr>
        <b/>
        <vertAlign val="superscript"/>
        <sz val="11"/>
        <color theme="1"/>
        <rFont val="Arial"/>
        <family val="2"/>
        <charset val="238"/>
      </rPr>
      <t>2</t>
    </r>
    <r>
      <rPr>
        <b/>
        <sz val="11"/>
        <color theme="1"/>
        <rFont val="Arial"/>
        <family val="2"/>
        <charset val="238"/>
      </rPr>
      <t xml:space="preserve"> [pcs.]</t>
    </r>
  </si>
  <si>
    <t>Holt's model</t>
  </si>
  <si>
    <t>alpha</t>
  </si>
  <si>
    <t>arithmetic average</t>
  </si>
  <si>
    <t>weighted average</t>
  </si>
  <si>
    <t>moving average</t>
  </si>
  <si>
    <t>linear model</t>
  </si>
  <si>
    <t>Brown's model</t>
  </si>
  <si>
    <t>Winters' model</t>
  </si>
  <si>
    <t>Forecast function</t>
  </si>
  <si>
    <t>Alpha</t>
  </si>
  <si>
    <t>Beta</t>
  </si>
  <si>
    <t>Gamma</t>
  </si>
  <si>
    <t>nonlinear model</t>
  </si>
  <si>
    <t>Podaci</t>
  </si>
  <si>
    <t>Naivni model  [kom]</t>
  </si>
  <si>
    <t>Modeli aritmetičke sredine</t>
  </si>
  <si>
    <t>Brownov model [kom]</t>
  </si>
  <si>
    <t>Holtov model</t>
  </si>
  <si>
    <t>Analitički modeli</t>
  </si>
  <si>
    <t>Eksponecijalno zaglađivanje</t>
  </si>
  <si>
    <t>Mjesec</t>
  </si>
  <si>
    <t>Prodaja  [kom]</t>
  </si>
  <si>
    <t>Jednostavni [kom]</t>
  </si>
  <si>
    <t>Pomični 3-period [kom]</t>
  </si>
  <si>
    <t>Vagani pomični 3-period [kom]</t>
  </si>
  <si>
    <t>Holtova prognoza [kom]</t>
  </si>
  <si>
    <t>Linearni [kom]</t>
  </si>
  <si>
    <t>Moćni [kom]</t>
  </si>
  <si>
    <t>Logaritamski</t>
  </si>
  <si>
    <t>Eksponencijalni</t>
  </si>
  <si>
    <t>Sezona 1 [kom]</t>
  </si>
  <si>
    <t>Sezona 2 [kom]</t>
  </si>
  <si>
    <t>Logaritamski [kom]</t>
  </si>
  <si>
    <t>Eksponencijalni [kom]</t>
  </si>
  <si>
    <t>Parametri</t>
  </si>
  <si>
    <t>Sezonalnost</t>
  </si>
  <si>
    <t>Korisne formule za izračun</t>
  </si>
  <si>
    <t>Relativna greška prognoze</t>
  </si>
  <si>
    <t>Broj elemenata</t>
  </si>
  <si>
    <t>Aritmetički prosjek</t>
  </si>
  <si>
    <t>vagani prosjek</t>
  </si>
  <si>
    <t>pomični prosjek</t>
  </si>
  <si>
    <t>linearni model</t>
  </si>
  <si>
    <t>nelinearni (logaritamski) model</t>
  </si>
  <si>
    <t>Brownov model</t>
  </si>
  <si>
    <t>Wintersov model</t>
  </si>
  <si>
    <t>Prognostička funkcija</t>
  </si>
  <si>
    <t>Prodaja</t>
  </si>
  <si>
    <t>Predviđanje koje je isteklo</t>
  </si>
  <si>
    <t>stvarno PREDVIĐANJE</t>
  </si>
  <si>
    <t>SREDNJA KVADRATNA POGREŠKA</t>
  </si>
  <si>
    <t>Ft slučajna fluktuacija za Holta i Wintersa</t>
  </si>
  <si>
    <t>St - trend za Holta i Wintersa</t>
  </si>
  <si>
    <t>Sezonalnost za Wintersa</t>
  </si>
  <si>
    <t>RMSE pogreška za različite sezone</t>
  </si>
  <si>
    <t>Slučajna fluktuacija</t>
  </si>
  <si>
    <t>PREDVIĐANJA</t>
  </si>
  <si>
    <t>Slučajne fluktuacije</t>
  </si>
  <si>
    <t>Sezonski indeks</t>
  </si>
  <si>
    <t>Indikatori/težinski koeficijenti/parametri</t>
  </si>
  <si>
    <t>PODACI</t>
  </si>
  <si>
    <t>Vagani prosjek</t>
  </si>
  <si>
    <t>Pomični prosjek</t>
  </si>
  <si>
    <t>Linearni model</t>
  </si>
  <si>
    <t>Ne-linearni model</t>
  </si>
  <si>
    <t>Najmanja RMSE greška</t>
  </si>
  <si>
    <t>Model s najmanjom greškom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</si>
</sst>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0.000"/>
    <numFmt numFmtId="165" formatCode="0.0%"/>
    <numFmt numFmtId="166" formatCode="_-* #,##0.0_-;\-* #,##0.0_-;_-* &quot;-&quot;??_-;_-@_-"/>
    <numFmt numFmtId="167" formatCode="_-* #,##0_-;\-* #,##0_-;_-* &quot;-&quot;??_-;_-@_-"/>
    <numFmt numFmtId="168" formatCode="_-* #,##0.0000_-;\-* #,##0.0000_-;_-* &quot;-&quot;??_-;_-@_-"/>
    <numFmt numFmtId="169" formatCode="_-* #,##0.00\ _z_ł_-;\-* #,##0.00\ _z_ł_-;_-* &quot;-&quot;??\ _z_ł_-;_-@_-"/>
    <numFmt numFmtId="170" formatCode="0.000%"/>
  </numFmts>
  <fonts count="16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vertAlign val="subscript"/>
      <sz val="11"/>
      <color theme="1"/>
      <name val="Arial"/>
      <family val="2"/>
      <charset val="238"/>
    </font>
    <font>
      <b/>
      <vertAlign val="superscript"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8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mo"/>
      <family val="2"/>
      <charset val="238"/>
    </font>
    <font>
      <b/>
      <sz val="10"/>
      <color theme="0"/>
      <name val="Arimo"/>
      <charset val="238"/>
    </font>
    <font>
      <b/>
      <sz val="10"/>
      <color theme="0"/>
      <name val="Arimo"/>
      <family val="2"/>
      <charset val="238"/>
    </font>
    <font>
      <sz val="10"/>
      <color theme="0"/>
      <name val="Arimo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0"/>
      <color theme="1"/>
      <name val="Arimo"/>
      <family val="2"/>
      <charset val="238"/>
    </font>
    <font>
      <sz val="10"/>
      <color theme="1"/>
      <name val="Arimo"/>
      <charset val="238"/>
    </font>
    <font>
      <b/>
      <sz val="20"/>
      <color theme="0"/>
      <name val="Calibri"/>
      <family val="2"/>
      <charset val="238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/>
        <bgColor theme="4" tint="0.79998168889431442"/>
      </patternFill>
    </fill>
    <fill>
      <patternFill patternType="solid">
        <fgColor theme="0" tint="-0.34998626667073579"/>
        <bgColor theme="4" tint="0.79998168889431442"/>
      </patternFill>
    </fill>
    <fill>
      <patternFill patternType="solid">
        <fgColor theme="9"/>
        <bgColor indexed="64"/>
      </patternFill>
    </fill>
    <fill>
      <patternFill patternType="solid">
        <fgColor theme="5"/>
        <bgColor theme="4" tint="0.79998168889431442"/>
      </patternFill>
    </fill>
    <fill>
      <patternFill patternType="solid">
        <fgColor theme="0" tint="-0.499984740745262"/>
        <bgColor theme="4" tint="0.79998168889431442"/>
      </patternFill>
    </fill>
    <fill>
      <patternFill patternType="solid">
        <fgColor theme="9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21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3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0" xfId="0" applyFont="1"/>
    <xf numFmtId="164" fontId="2" fillId="7" borderId="1" xfId="0" applyNumberFormat="1" applyFont="1" applyFill="1" applyBorder="1"/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165" fontId="2" fillId="0" borderId="0" xfId="1" applyNumberFormat="1" applyFont="1"/>
    <xf numFmtId="0" fontId="2" fillId="2" borderId="0" xfId="0" applyFont="1" applyFill="1" applyAlignment="1">
      <alignment horizontal="center" vertical="center" wrapText="1"/>
    </xf>
    <xf numFmtId="167" fontId="1" fillId="0" borderId="1" xfId="2" applyNumberFormat="1" applyFont="1" applyBorder="1"/>
    <xf numFmtId="1" fontId="2" fillId="3" borderId="1" xfId="0" applyNumberFormat="1" applyFont="1" applyFill="1" applyBorder="1"/>
    <xf numFmtId="2" fontId="1" fillId="0" borderId="1" xfId="0" applyNumberFormat="1" applyFont="1" applyBorder="1"/>
    <xf numFmtId="168" fontId="1" fillId="0" borderId="1" xfId="2" applyNumberFormat="1" applyFont="1" applyBorder="1"/>
    <xf numFmtId="167" fontId="8" fillId="0" borderId="6" xfId="2" applyNumberFormat="1" applyFont="1" applyFill="1" applyBorder="1"/>
    <xf numFmtId="167" fontId="0" fillId="0" borderId="0" xfId="2" applyNumberFormat="1" applyFont="1"/>
    <xf numFmtId="0" fontId="8" fillId="0" borderId="0" xfId="0" applyFont="1"/>
    <xf numFmtId="0" fontId="8" fillId="8" borderId="0" xfId="0" applyFont="1" applyFill="1" applyAlignment="1">
      <alignment horizontal="center" vertical="center"/>
    </xf>
    <xf numFmtId="167" fontId="8" fillId="0" borderId="0" xfId="2" applyNumberFormat="1" applyFont="1"/>
    <xf numFmtId="0" fontId="8" fillId="0" borderId="0" xfId="0" quotePrefix="1" applyFont="1"/>
    <xf numFmtId="0" fontId="9" fillId="13" borderId="0" xfId="0" applyFont="1" applyFill="1" applyAlignment="1">
      <alignment horizontal="center" vertical="center"/>
    </xf>
    <xf numFmtId="0" fontId="9" fillId="14" borderId="1" xfId="0" applyFont="1" applyFill="1" applyBorder="1" applyAlignment="1">
      <alignment horizontal="center" vertical="center"/>
    </xf>
    <xf numFmtId="0" fontId="12" fillId="17" borderId="9" xfId="0" applyFont="1" applyFill="1" applyBorder="1" applyAlignment="1">
      <alignment vertical="center"/>
    </xf>
    <xf numFmtId="0" fontId="9" fillId="13" borderId="1" xfId="0" applyFont="1" applyFill="1" applyBorder="1" applyAlignment="1">
      <alignment horizontal="center" vertical="center"/>
    </xf>
    <xf numFmtId="0" fontId="9" fillId="15" borderId="1" xfId="0" applyFont="1" applyFill="1" applyBorder="1" applyAlignment="1">
      <alignment horizontal="center" vertical="center"/>
    </xf>
    <xf numFmtId="0" fontId="10" fillId="19" borderId="1" xfId="0" applyFont="1" applyFill="1" applyBorder="1" applyAlignment="1">
      <alignment horizontal="center"/>
    </xf>
    <xf numFmtId="167" fontId="10" fillId="17" borderId="1" xfId="2" applyNumberFormat="1" applyFont="1" applyFill="1" applyBorder="1" applyAlignment="1">
      <alignment horizontal="center" vertical="center"/>
    </xf>
    <xf numFmtId="0" fontId="12" fillId="17" borderId="10" xfId="0" applyFont="1" applyFill="1" applyBorder="1" applyAlignment="1">
      <alignment vertical="center"/>
    </xf>
    <xf numFmtId="0" fontId="10" fillId="18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5" xfId="0" applyFont="1" applyBorder="1"/>
    <xf numFmtId="0" fontId="8" fillId="0" borderId="1" xfId="0" applyFont="1" applyBorder="1" applyAlignment="1">
      <alignment horizontal="left"/>
    </xf>
    <xf numFmtId="167" fontId="8" fillId="0" borderId="1" xfId="2" applyNumberFormat="1" applyFont="1" applyBorder="1"/>
    <xf numFmtId="0" fontId="8" fillId="0" borderId="1" xfId="0" applyFont="1" applyBorder="1"/>
    <xf numFmtId="167" fontId="8" fillId="0" borderId="1" xfId="0" applyNumberFormat="1" applyFont="1" applyBorder="1"/>
    <xf numFmtId="167" fontId="8" fillId="20" borderId="1" xfId="0" applyNumberFormat="1" applyFont="1" applyFill="1" applyBorder="1"/>
    <xf numFmtId="167" fontId="8" fillId="21" borderId="10" xfId="2" applyNumberFormat="1" applyFont="1" applyFill="1" applyBorder="1"/>
    <xf numFmtId="166" fontId="8" fillId="22" borderId="10" xfId="2" applyNumberFormat="1" applyFont="1" applyFill="1" applyBorder="1"/>
    <xf numFmtId="165" fontId="8" fillId="22" borderId="10" xfId="1" applyNumberFormat="1" applyFont="1" applyFill="1" applyBorder="1"/>
    <xf numFmtId="0" fontId="8" fillId="21" borderId="10" xfId="0" applyFont="1" applyFill="1" applyBorder="1"/>
    <xf numFmtId="9" fontId="8" fillId="23" borderId="1" xfId="0" applyNumberFormat="1" applyFont="1" applyFill="1" applyBorder="1" applyAlignment="1">
      <alignment horizontal="center"/>
    </xf>
    <xf numFmtId="0" fontId="8" fillId="23" borderId="0" xfId="0" applyFont="1" applyFill="1" applyAlignment="1">
      <alignment horizontal="center"/>
    </xf>
    <xf numFmtId="167" fontId="8" fillId="23" borderId="0" xfId="2" applyNumberFormat="1" applyFont="1" applyFill="1" applyBorder="1" applyAlignment="1">
      <alignment horizontal="center"/>
    </xf>
    <xf numFmtId="167" fontId="8" fillId="23" borderId="0" xfId="0" applyNumberFormat="1" applyFont="1" applyFill="1" applyAlignment="1">
      <alignment horizontal="center"/>
    </xf>
    <xf numFmtId="166" fontId="8" fillId="23" borderId="0" xfId="2" applyNumberFormat="1" applyFont="1" applyFill="1" applyBorder="1" applyAlignment="1">
      <alignment horizontal="center"/>
    </xf>
    <xf numFmtId="165" fontId="8" fillId="23" borderId="0" xfId="1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9" fontId="8" fillId="0" borderId="1" xfId="0" applyNumberFormat="1" applyFont="1" applyBorder="1" applyAlignment="1">
      <alignment horizontal="center"/>
    </xf>
    <xf numFmtId="167" fontId="8" fillId="21" borderId="1" xfId="2" applyNumberFormat="1" applyFont="1" applyFill="1" applyBorder="1"/>
    <xf numFmtId="166" fontId="8" fillId="22" borderId="1" xfId="2" applyNumberFormat="1" applyFont="1" applyFill="1" applyBorder="1"/>
    <xf numFmtId="165" fontId="8" fillId="22" borderId="1" xfId="1" applyNumberFormat="1" applyFont="1" applyFill="1" applyBorder="1"/>
    <xf numFmtId="0" fontId="8" fillId="21" borderId="1" xfId="0" applyFont="1" applyFill="1" applyBorder="1"/>
    <xf numFmtId="9" fontId="8" fillId="23" borderId="1" xfId="0" applyNumberFormat="1" applyFont="1" applyFill="1" applyBorder="1" applyAlignment="1">
      <alignment horizontal="left"/>
    </xf>
    <xf numFmtId="0" fontId="8" fillId="23" borderId="0" xfId="0" applyFont="1" applyFill="1"/>
    <xf numFmtId="0" fontId="8" fillId="23" borderId="0" xfId="0" applyFont="1" applyFill="1" applyAlignment="1">
      <alignment horizontal="left"/>
    </xf>
    <xf numFmtId="167" fontId="8" fillId="23" borderId="0" xfId="2" applyNumberFormat="1" applyFont="1" applyFill="1" applyBorder="1"/>
    <xf numFmtId="167" fontId="8" fillId="23" borderId="0" xfId="0" applyNumberFormat="1" applyFont="1" applyFill="1"/>
    <xf numFmtId="166" fontId="8" fillId="23" borderId="0" xfId="2" applyNumberFormat="1" applyFont="1" applyFill="1" applyBorder="1"/>
    <xf numFmtId="165" fontId="8" fillId="23" borderId="0" xfId="1" applyNumberFormat="1" applyFont="1" applyFill="1" applyBorder="1"/>
    <xf numFmtId="9" fontId="8" fillId="22" borderId="1" xfId="1" applyFont="1" applyFill="1" applyBorder="1"/>
    <xf numFmtId="9" fontId="8" fillId="23" borderId="9" xfId="0" applyNumberFormat="1" applyFont="1" applyFill="1" applyBorder="1" applyAlignment="1">
      <alignment horizontal="center"/>
    </xf>
    <xf numFmtId="167" fontId="8" fillId="0" borderId="1" xfId="2" applyNumberFormat="1" applyFont="1" applyBorder="1" applyAlignment="1">
      <alignment horizontal="center"/>
    </xf>
    <xf numFmtId="10" fontId="8" fillId="22" borderId="1" xfId="1" applyNumberFormat="1" applyFont="1" applyFill="1" applyBorder="1"/>
    <xf numFmtId="167" fontId="8" fillId="20" borderId="1" xfId="2" applyNumberFormat="1" applyFont="1" applyFill="1" applyBorder="1"/>
    <xf numFmtId="167" fontId="8" fillId="21" borderId="1" xfId="0" applyNumberFormat="1" applyFont="1" applyFill="1" applyBorder="1" applyAlignment="1">
      <alignment horizontal="center" vertical="center"/>
    </xf>
    <xf numFmtId="167" fontId="8" fillId="21" borderId="1" xfId="0" applyNumberFormat="1" applyFont="1" applyFill="1" applyBorder="1"/>
    <xf numFmtId="0" fontId="8" fillId="0" borderId="1" xfId="0" applyFont="1" applyBorder="1" applyAlignment="1">
      <alignment horizontal="center" vertical="center"/>
    </xf>
    <xf numFmtId="0" fontId="8" fillId="10" borderId="1" xfId="0" applyFont="1" applyFill="1" applyBorder="1"/>
    <xf numFmtId="167" fontId="8" fillId="10" borderId="1" xfId="2" applyNumberFormat="1" applyFont="1" applyFill="1" applyBorder="1"/>
    <xf numFmtId="167" fontId="8" fillId="8" borderId="1" xfId="0" applyNumberFormat="1" applyFont="1" applyFill="1" applyBorder="1"/>
    <xf numFmtId="43" fontId="8" fillId="8" borderId="1" xfId="2" applyFont="1" applyFill="1" applyBorder="1"/>
    <xf numFmtId="169" fontId="8" fillId="21" borderId="1" xfId="0" applyNumberFormat="1" applyFont="1" applyFill="1" applyBorder="1"/>
    <xf numFmtId="10" fontId="8" fillId="0" borderId="1" xfId="1" applyNumberFormat="1" applyFont="1" applyBorder="1" applyAlignment="1">
      <alignment horizontal="center" vertical="center"/>
    </xf>
    <xf numFmtId="167" fontId="0" fillId="0" borderId="1" xfId="2" applyNumberFormat="1" applyFont="1" applyBorder="1"/>
    <xf numFmtId="10" fontId="0" fillId="0" borderId="1" xfId="1" applyNumberFormat="1" applyFont="1" applyBorder="1" applyAlignment="1">
      <alignment horizontal="center" vertical="center"/>
    </xf>
    <xf numFmtId="0" fontId="0" fillId="0" borderId="1" xfId="0" applyBorder="1"/>
    <xf numFmtId="9" fontId="8" fillId="23" borderId="0" xfId="0" applyNumberFormat="1" applyFont="1" applyFill="1" applyAlignment="1">
      <alignment horizontal="center"/>
    </xf>
    <xf numFmtId="0" fontId="12" fillId="18" borderId="9" xfId="0" applyFont="1" applyFill="1" applyBorder="1" applyAlignment="1">
      <alignment vertical="center"/>
    </xf>
    <xf numFmtId="167" fontId="8" fillId="8" borderId="0" xfId="2" applyNumberFormat="1" applyFont="1" applyFill="1" applyAlignment="1">
      <alignment horizontal="center" vertical="center"/>
    </xf>
    <xf numFmtId="167" fontId="10" fillId="19" borderId="1" xfId="2" applyNumberFormat="1" applyFont="1" applyFill="1" applyBorder="1" applyAlignment="1">
      <alignment horizontal="center"/>
    </xf>
    <xf numFmtId="0" fontId="12" fillId="18" borderId="10" xfId="0" applyFont="1" applyFill="1" applyBorder="1" applyAlignment="1">
      <alignment vertical="center"/>
    </xf>
    <xf numFmtId="0" fontId="8" fillId="0" borderId="10" xfId="0" applyFont="1" applyBorder="1"/>
    <xf numFmtId="167" fontId="8" fillId="0" borderId="10" xfId="2" applyNumberFormat="1" applyFont="1" applyBorder="1"/>
    <xf numFmtId="167" fontId="8" fillId="22" borderId="10" xfId="2" applyNumberFormat="1" applyFont="1" applyFill="1" applyBorder="1"/>
    <xf numFmtId="0" fontId="8" fillId="20" borderId="1" xfId="0" applyFont="1" applyFill="1" applyBorder="1"/>
    <xf numFmtId="0" fontId="8" fillId="0" borderId="11" xfId="0" applyFont="1" applyBorder="1"/>
    <xf numFmtId="167" fontId="8" fillId="0" borderId="11" xfId="2" applyNumberFormat="1" applyFont="1" applyBorder="1"/>
    <xf numFmtId="0" fontId="8" fillId="0" borderId="11" xfId="0" applyFont="1" applyBorder="1" applyAlignment="1">
      <alignment horizontal="left"/>
    </xf>
    <xf numFmtId="0" fontId="8" fillId="20" borderId="11" xfId="0" applyFont="1" applyFill="1" applyBorder="1"/>
    <xf numFmtId="0" fontId="8" fillId="21" borderId="11" xfId="0" applyFont="1" applyFill="1" applyBorder="1"/>
    <xf numFmtId="1" fontId="8" fillId="21" borderId="10" xfId="0" applyNumberFormat="1" applyFont="1" applyFill="1" applyBorder="1"/>
    <xf numFmtId="1" fontId="8" fillId="21" borderId="1" xfId="0" applyNumberFormat="1" applyFont="1" applyFill="1" applyBorder="1"/>
    <xf numFmtId="1" fontId="8" fillId="21" borderId="11" xfId="0" applyNumberFormat="1" applyFont="1" applyFill="1" applyBorder="1"/>
    <xf numFmtId="0" fontId="8" fillId="0" borderId="2" xfId="0" applyFont="1" applyBorder="1"/>
    <xf numFmtId="167" fontId="8" fillId="0" borderId="0" xfId="2" applyNumberFormat="1" applyFont="1" applyBorder="1"/>
    <xf numFmtId="0" fontId="8" fillId="20" borderId="2" xfId="0" applyFont="1" applyFill="1" applyBorder="1"/>
    <xf numFmtId="167" fontId="8" fillId="20" borderId="0" xfId="2" applyNumberFormat="1" applyFont="1" applyFill="1" applyBorder="1"/>
    <xf numFmtId="43" fontId="0" fillId="0" borderId="0" xfId="2" applyFont="1"/>
    <xf numFmtId="167" fontId="0" fillId="0" borderId="1" xfId="2" applyNumberFormat="1" applyFont="1" applyBorder="1" applyAlignment="1">
      <alignment horizontal="center"/>
    </xf>
    <xf numFmtId="170" fontId="0" fillId="0" borderId="1" xfId="0" applyNumberFormat="1" applyBorder="1"/>
    <xf numFmtId="170" fontId="0" fillId="0" borderId="1" xfId="1" applyNumberFormat="1" applyFont="1" applyBorder="1" applyAlignment="1">
      <alignment horizontal="center"/>
    </xf>
    <xf numFmtId="0" fontId="9" fillId="14" borderId="1" xfId="0" applyFont="1" applyFill="1" applyBorder="1" applyAlignment="1">
      <alignment horizontal="center" vertical="center" wrapText="1"/>
    </xf>
    <xf numFmtId="0" fontId="8" fillId="0" borderId="12" xfId="0" applyFont="1" applyBorder="1"/>
    <xf numFmtId="0" fontId="8" fillId="0" borderId="13" xfId="0" applyFont="1" applyBorder="1"/>
    <xf numFmtId="0" fontId="8" fillId="23" borderId="10" xfId="0" applyFont="1" applyFill="1" applyBorder="1"/>
    <xf numFmtId="167" fontId="8" fillId="23" borderId="10" xfId="2" applyNumberFormat="1" applyFont="1" applyFill="1" applyBorder="1"/>
    <xf numFmtId="0" fontId="8" fillId="23" borderId="1" xfId="0" applyFont="1" applyFill="1" applyBorder="1"/>
    <xf numFmtId="167" fontId="8" fillId="23" borderId="1" xfId="2" applyNumberFormat="1" applyFont="1" applyFill="1" applyBorder="1"/>
    <xf numFmtId="0" fontId="8" fillId="23" borderId="9" xfId="0" applyFont="1" applyFill="1" applyBorder="1"/>
    <xf numFmtId="167" fontId="8" fillId="23" borderId="9" xfId="2" applyNumberFormat="1" applyFont="1" applyFill="1" applyBorder="1"/>
    <xf numFmtId="9" fontId="8" fillId="23" borderId="14" xfId="0" applyNumberFormat="1" applyFont="1" applyFill="1" applyBorder="1"/>
    <xf numFmtId="9" fontId="8" fillId="23" borderId="15" xfId="0" applyNumberFormat="1" applyFont="1" applyFill="1" applyBorder="1"/>
    <xf numFmtId="167" fontId="8" fillId="23" borderId="16" xfId="2" applyNumberFormat="1" applyFont="1" applyFill="1" applyBorder="1"/>
    <xf numFmtId="9" fontId="8" fillId="23" borderId="17" xfId="0" applyNumberFormat="1" applyFont="1" applyFill="1" applyBorder="1"/>
    <xf numFmtId="9" fontId="8" fillId="23" borderId="10" xfId="0" applyNumberFormat="1" applyFont="1" applyFill="1" applyBorder="1"/>
    <xf numFmtId="167" fontId="8" fillId="23" borderId="18" xfId="2" applyNumberFormat="1" applyFont="1" applyFill="1" applyBorder="1"/>
    <xf numFmtId="9" fontId="8" fillId="23" borderId="19" xfId="0" applyNumberFormat="1" applyFont="1" applyFill="1" applyBorder="1"/>
    <xf numFmtId="9" fontId="8" fillId="23" borderId="20" xfId="0" applyNumberFormat="1" applyFont="1" applyFill="1" applyBorder="1"/>
    <xf numFmtId="167" fontId="8" fillId="23" borderId="21" xfId="2" applyNumberFormat="1" applyFont="1" applyFill="1" applyBorder="1"/>
    <xf numFmtId="0" fontId="8" fillId="23" borderId="14" xfId="0" applyFont="1" applyFill="1" applyBorder="1"/>
    <xf numFmtId="0" fontId="8" fillId="23" borderId="15" xfId="0" applyFont="1" applyFill="1" applyBorder="1"/>
    <xf numFmtId="0" fontId="8" fillId="23" borderId="22" xfId="0" applyFont="1" applyFill="1" applyBorder="1"/>
    <xf numFmtId="167" fontId="8" fillId="23" borderId="23" xfId="2" applyNumberFormat="1" applyFont="1" applyFill="1" applyBorder="1"/>
    <xf numFmtId="43" fontId="8" fillId="23" borderId="19" xfId="2" applyFont="1" applyFill="1" applyBorder="1"/>
    <xf numFmtId="43" fontId="8" fillId="23" borderId="20" xfId="2" applyFont="1" applyFill="1" applyBorder="1"/>
    <xf numFmtId="0" fontId="8" fillId="23" borderId="20" xfId="0" applyFont="1" applyFill="1" applyBorder="1"/>
    <xf numFmtId="167" fontId="8" fillId="23" borderId="24" xfId="2" applyNumberFormat="1" applyFont="1" applyFill="1" applyBorder="1"/>
    <xf numFmtId="43" fontId="13" fillId="23" borderId="14" xfId="2" applyFont="1" applyFill="1" applyBorder="1"/>
    <xf numFmtId="43" fontId="13" fillId="23" borderId="15" xfId="2" applyFont="1" applyFill="1" applyBorder="1"/>
    <xf numFmtId="43" fontId="8" fillId="23" borderId="15" xfId="2" applyFont="1" applyFill="1" applyBorder="1"/>
    <xf numFmtId="43" fontId="13" fillId="23" borderId="22" xfId="2" applyFont="1" applyFill="1" applyBorder="1"/>
    <xf numFmtId="43" fontId="13" fillId="23" borderId="1" xfId="2" applyFont="1" applyFill="1" applyBorder="1"/>
    <xf numFmtId="43" fontId="8" fillId="23" borderId="1" xfId="2" applyFont="1" applyFill="1" applyBorder="1"/>
    <xf numFmtId="43" fontId="13" fillId="23" borderId="19" xfId="2" applyFont="1" applyFill="1" applyBorder="1"/>
    <xf numFmtId="43" fontId="13" fillId="23" borderId="20" xfId="2" applyFont="1" applyFill="1" applyBorder="1"/>
    <xf numFmtId="43" fontId="8" fillId="23" borderId="14" xfId="2" applyFont="1" applyFill="1" applyBorder="1"/>
    <xf numFmtId="43" fontId="8" fillId="23" borderId="22" xfId="2" applyFont="1" applyFill="1" applyBorder="1"/>
    <xf numFmtId="0" fontId="13" fillId="23" borderId="22" xfId="0" applyFont="1" applyFill="1" applyBorder="1"/>
    <xf numFmtId="0" fontId="13" fillId="23" borderId="19" xfId="0" applyFont="1" applyFill="1" applyBorder="1"/>
    <xf numFmtId="167" fontId="8" fillId="24" borderId="1" xfId="2" applyNumberFormat="1" applyFont="1" applyFill="1" applyBorder="1"/>
    <xf numFmtId="167" fontId="8" fillId="24" borderId="1" xfId="2" quotePrefix="1" applyNumberFormat="1" applyFont="1" applyFill="1" applyBorder="1"/>
    <xf numFmtId="167" fontId="8" fillId="0" borderId="1" xfId="2" applyNumberFormat="1" applyFont="1" applyFill="1" applyBorder="1"/>
    <xf numFmtId="167" fontId="8" fillId="0" borderId="11" xfId="2" applyNumberFormat="1" applyFont="1" applyFill="1" applyBorder="1"/>
    <xf numFmtId="167" fontId="14" fillId="24" borderId="10" xfId="2" applyNumberFormat="1" applyFont="1" applyFill="1" applyBorder="1"/>
    <xf numFmtId="167" fontId="14" fillId="24" borderId="1" xfId="2" applyNumberFormat="1" applyFont="1" applyFill="1" applyBorder="1"/>
    <xf numFmtId="167" fontId="8" fillId="24" borderId="11" xfId="2" applyNumberFormat="1" applyFont="1" applyFill="1" applyBorder="1"/>
    <xf numFmtId="167" fontId="14" fillId="24" borderId="11" xfId="2" applyNumberFormat="1" applyFont="1" applyFill="1" applyBorder="1"/>
    <xf numFmtId="167" fontId="13" fillId="24" borderId="10" xfId="2" applyNumberFormat="1" applyFont="1" applyFill="1" applyBorder="1"/>
    <xf numFmtId="167" fontId="13" fillId="24" borderId="1" xfId="2" applyNumberFormat="1" applyFont="1" applyFill="1" applyBorder="1"/>
    <xf numFmtId="167" fontId="13" fillId="24" borderId="11" xfId="2" applyNumberFormat="1" applyFont="1" applyFill="1" applyBorder="1"/>
    <xf numFmtId="167" fontId="9" fillId="18" borderId="1" xfId="2" applyNumberFormat="1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 wrapText="1"/>
    </xf>
    <xf numFmtId="167" fontId="2" fillId="3" borderId="1" xfId="2" applyNumberFormat="1" applyFont="1" applyFill="1" applyBorder="1"/>
    <xf numFmtId="0" fontId="0" fillId="25" borderId="0" xfId="0" applyFill="1"/>
    <xf numFmtId="0" fontId="2" fillId="26" borderId="1" xfId="0" applyFont="1" applyFill="1" applyBorder="1" applyAlignment="1">
      <alignment horizontal="center" vertical="center" wrapText="1"/>
    </xf>
    <xf numFmtId="0" fontId="0" fillId="26" borderId="0" xfId="0" applyFill="1"/>
    <xf numFmtId="0" fontId="0" fillId="21" borderId="0" xfId="0" applyFill="1"/>
    <xf numFmtId="0" fontId="0" fillId="27" borderId="0" xfId="0" applyFill="1"/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5" fillId="10" borderId="0" xfId="0" applyFont="1" applyFill="1" applyAlignment="1">
      <alignment horizontal="center" vertical="center"/>
    </xf>
    <xf numFmtId="0" fontId="15" fillId="10" borderId="25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 wrapText="1"/>
    </xf>
    <xf numFmtId="0" fontId="2" fillId="16" borderId="3" xfId="0" applyFont="1" applyFill="1" applyBorder="1" applyAlignment="1">
      <alignment horizontal="center" vertical="center" wrapText="1"/>
    </xf>
    <xf numFmtId="0" fontId="2" fillId="16" borderId="4" xfId="0" applyFont="1" applyFill="1" applyBorder="1" applyAlignment="1">
      <alignment horizontal="center" vertical="center" wrapText="1"/>
    </xf>
    <xf numFmtId="0" fontId="2" fillId="16" borderId="5" xfId="0" applyFont="1" applyFill="1" applyBorder="1" applyAlignment="1">
      <alignment horizontal="center" vertical="center" wrapText="1"/>
    </xf>
    <xf numFmtId="0" fontId="9" fillId="18" borderId="3" xfId="0" applyFont="1" applyFill="1" applyBorder="1" applyAlignment="1">
      <alignment horizontal="center" vertical="center"/>
    </xf>
    <xf numFmtId="0" fontId="9" fillId="18" borderId="5" xfId="0" applyFont="1" applyFill="1" applyBorder="1" applyAlignment="1">
      <alignment horizontal="center" vertical="center"/>
    </xf>
    <xf numFmtId="0" fontId="9" fillId="18" borderId="4" xfId="0" applyFont="1" applyFill="1" applyBorder="1" applyAlignment="1">
      <alignment horizontal="center" vertical="center"/>
    </xf>
    <xf numFmtId="0" fontId="9" fillId="15" borderId="3" xfId="0" applyFont="1" applyFill="1" applyBorder="1" applyAlignment="1">
      <alignment horizontal="center" vertical="center"/>
    </xf>
    <xf numFmtId="0" fontId="9" fillId="15" borderId="5" xfId="0" applyFont="1" applyFill="1" applyBorder="1" applyAlignment="1">
      <alignment horizontal="center" vertical="center"/>
    </xf>
    <xf numFmtId="0" fontId="10" fillId="16" borderId="3" xfId="0" applyFont="1" applyFill="1" applyBorder="1" applyAlignment="1">
      <alignment horizontal="center"/>
    </xf>
    <xf numFmtId="0" fontId="10" fillId="16" borderId="4" xfId="0" applyFont="1" applyFill="1" applyBorder="1" applyAlignment="1">
      <alignment horizontal="center"/>
    </xf>
    <xf numFmtId="0" fontId="10" fillId="16" borderId="5" xfId="0" applyFont="1" applyFill="1" applyBorder="1" applyAlignment="1">
      <alignment horizontal="center"/>
    </xf>
    <xf numFmtId="167" fontId="9" fillId="17" borderId="3" xfId="2" applyNumberFormat="1" applyFont="1" applyFill="1" applyBorder="1" applyAlignment="1">
      <alignment horizontal="center" vertical="center"/>
    </xf>
    <xf numFmtId="167" fontId="9" fillId="17" borderId="4" xfId="2" applyNumberFormat="1" applyFont="1" applyFill="1" applyBorder="1" applyAlignment="1">
      <alignment horizontal="center" vertical="center"/>
    </xf>
    <xf numFmtId="167" fontId="9" fillId="17" borderId="5" xfId="2" applyNumberFormat="1" applyFont="1" applyFill="1" applyBorder="1" applyAlignment="1">
      <alignment horizontal="center" vertical="center"/>
    </xf>
    <xf numFmtId="0" fontId="9" fillId="14" borderId="3" xfId="0" applyFont="1" applyFill="1" applyBorder="1" applyAlignment="1">
      <alignment horizontal="center" vertical="center"/>
    </xf>
    <xf numFmtId="0" fontId="9" fillId="14" borderId="4" xfId="0" applyFont="1" applyFill="1" applyBorder="1" applyAlignment="1">
      <alignment horizontal="center" vertical="center"/>
    </xf>
    <xf numFmtId="0" fontId="9" fillId="14" borderId="5" xfId="0" applyFont="1" applyFill="1" applyBorder="1" applyAlignment="1">
      <alignment horizontal="center" vertical="center"/>
    </xf>
    <xf numFmtId="0" fontId="9" fillId="15" borderId="4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/>
    </xf>
    <xf numFmtId="0" fontId="9" fillId="9" borderId="7" xfId="0" applyFont="1" applyFill="1" applyBorder="1" applyAlignment="1">
      <alignment horizontal="center"/>
    </xf>
    <xf numFmtId="0" fontId="9" fillId="10" borderId="7" xfId="0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5" xfId="0" applyFont="1" applyFill="1" applyBorder="1" applyAlignment="1">
      <alignment horizontal="center"/>
    </xf>
    <xf numFmtId="167" fontId="11" fillId="12" borderId="8" xfId="2" applyNumberFormat="1" applyFont="1" applyFill="1" applyBorder="1" applyAlignment="1">
      <alignment horizontal="center"/>
    </xf>
    <xf numFmtId="167" fontId="11" fillId="12" borderId="7" xfId="2" applyNumberFormat="1" applyFont="1" applyFill="1" applyBorder="1" applyAlignment="1">
      <alignment horizontal="center"/>
    </xf>
    <xf numFmtId="167" fontId="9" fillId="18" borderId="3" xfId="2" applyNumberFormat="1" applyFont="1" applyFill="1" applyBorder="1" applyAlignment="1">
      <alignment horizontal="center" vertical="center"/>
    </xf>
    <xf numFmtId="167" fontId="9" fillId="18" borderId="4" xfId="2" applyNumberFormat="1" applyFont="1" applyFill="1" applyBorder="1" applyAlignment="1">
      <alignment horizontal="center" vertical="center"/>
    </xf>
    <xf numFmtId="167" fontId="9" fillId="18" borderId="5" xfId="2" applyNumberFormat="1" applyFont="1" applyFill="1" applyBorder="1" applyAlignment="1">
      <alignment horizontal="center" vertical="center"/>
    </xf>
    <xf numFmtId="167" fontId="10" fillId="16" borderId="3" xfId="2" applyNumberFormat="1" applyFont="1" applyFill="1" applyBorder="1" applyAlignment="1">
      <alignment horizontal="center"/>
    </xf>
    <xf numFmtId="167" fontId="10" fillId="16" borderId="4" xfId="2" applyNumberFormat="1" applyFont="1" applyFill="1" applyBorder="1" applyAlignment="1">
      <alignment horizontal="center"/>
    </xf>
    <xf numFmtId="167" fontId="10" fillId="16" borderId="5" xfId="2" applyNumberFormat="1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1" defaultTableStyle="TableStyleMedium2" defaultPivotStyle="PivotStyleLight16">
    <tableStyle name="Invisible" pivot="0" table="0" count="0" xr9:uid="{6BD98E31-7908-4E2F-B334-CD83BB358BB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182194471822148E-2"/>
          <c:y val="4.6912218368323412E-2"/>
          <c:w val="0.89019685039370078"/>
          <c:h val="0.64726894682016356"/>
        </c:manualLayout>
      </c:layout>
      <c:lineChart>
        <c:grouping val="standard"/>
        <c:varyColors val="0"/>
        <c:ser>
          <c:idx val="0"/>
          <c:order val="0"/>
          <c:tx>
            <c:strRef>
              <c:f>'Task I index - vertical'!$B$3</c:f>
              <c:strCache>
                <c:ptCount val="1"/>
                <c:pt idx="0">
                  <c:v>Prodaja  [kom]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9.8124492479536238E-2"/>
                  <c:y val="-0.287177930641459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7.4545892437410117E-5"/>
                  <c:y val="0.1825348769743314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</c:trendlineLbl>
          </c:trendline>
          <c:cat>
            <c:numRef>
              <c:f>'Task I index - vertical'!$A$4:$A$16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'Task I index - vertical'!$B$4:$B$16</c:f>
              <c:numCache>
                <c:formatCode>General</c:formatCode>
                <c:ptCount val="13"/>
                <c:pt idx="0">
                  <c:v>119</c:v>
                </c:pt>
                <c:pt idx="1">
                  <c:v>129</c:v>
                </c:pt>
                <c:pt idx="2">
                  <c:v>108</c:v>
                </c:pt>
                <c:pt idx="3">
                  <c:v>119</c:v>
                </c:pt>
                <c:pt idx="4">
                  <c:v>142</c:v>
                </c:pt>
                <c:pt idx="5">
                  <c:v>119</c:v>
                </c:pt>
                <c:pt idx="6">
                  <c:v>113</c:v>
                </c:pt>
                <c:pt idx="7">
                  <c:v>123</c:v>
                </c:pt>
                <c:pt idx="8">
                  <c:v>113</c:v>
                </c:pt>
                <c:pt idx="9">
                  <c:v>105</c:v>
                </c:pt>
                <c:pt idx="10">
                  <c:v>108</c:v>
                </c:pt>
                <c:pt idx="11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7E-4054-B612-7F609BC9BA7A}"/>
            </c:ext>
          </c:extLst>
        </c:ser>
        <c:ser>
          <c:idx val="10"/>
          <c:order val="9"/>
          <c:tx>
            <c:strRef>
              <c:f>'Task I index - vertical'!$O$3</c:f>
              <c:strCache>
                <c:ptCount val="1"/>
                <c:pt idx="0">
                  <c:v>Sezona 1 [kom]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vertical'!$O$4:$O$16</c:f>
              <c:numCache>
                <c:formatCode>General</c:formatCode>
                <c:ptCount val="13"/>
                <c:pt idx="2">
                  <c:v>139</c:v>
                </c:pt>
                <c:pt idx="3">
                  <c:v>107</c:v>
                </c:pt>
                <c:pt idx="4">
                  <c:v>112</c:v>
                </c:pt>
                <c:pt idx="5">
                  <c:v>142</c:v>
                </c:pt>
                <c:pt idx="6">
                  <c:v>128</c:v>
                </c:pt>
                <c:pt idx="7">
                  <c:v>119</c:v>
                </c:pt>
                <c:pt idx="8">
                  <c:v>120</c:v>
                </c:pt>
                <c:pt idx="9">
                  <c:v>114</c:v>
                </c:pt>
                <c:pt idx="10">
                  <c:v>126</c:v>
                </c:pt>
                <c:pt idx="11">
                  <c:v>109</c:v>
                </c:pt>
                <c:pt idx="12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FA-46D5-B448-2D87E18A733A}"/>
            </c:ext>
          </c:extLst>
        </c:ser>
        <c:ser>
          <c:idx val="6"/>
          <c:order val="10"/>
          <c:tx>
            <c:strRef>
              <c:f>'Task I index - vertical'!$P$3</c:f>
              <c:strCache>
                <c:ptCount val="1"/>
                <c:pt idx="0">
                  <c:v>Sezona 2 [kom]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vertical'!$P$4:$P$16</c:f>
              <c:numCache>
                <c:formatCode>General</c:formatCode>
                <c:ptCount val="13"/>
                <c:pt idx="2">
                  <c:v>139</c:v>
                </c:pt>
                <c:pt idx="3">
                  <c:v>107</c:v>
                </c:pt>
                <c:pt idx="4">
                  <c:v>112</c:v>
                </c:pt>
                <c:pt idx="5">
                  <c:v>142</c:v>
                </c:pt>
                <c:pt idx="6">
                  <c:v>133</c:v>
                </c:pt>
                <c:pt idx="7">
                  <c:v>146</c:v>
                </c:pt>
                <c:pt idx="8">
                  <c:v>112</c:v>
                </c:pt>
                <c:pt idx="9">
                  <c:v>114</c:v>
                </c:pt>
                <c:pt idx="10">
                  <c:v>126</c:v>
                </c:pt>
                <c:pt idx="11">
                  <c:v>84</c:v>
                </c:pt>
                <c:pt idx="12">
                  <c:v>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07E-4054-B612-7F609BC9B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8279784"/>
        <c:axId val="418286016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'Task I index - vertical'!$C$2</c15:sqref>
                        </c15:formulaRef>
                      </c:ext>
                    </c:extLst>
                    <c:strCache>
                      <c:ptCount val="1"/>
                      <c:pt idx="0">
                        <c:v>Naivni model 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'Task I index - vertical'!$C$4:$C$16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119</c:v>
                      </c:pt>
                      <c:pt idx="2">
                        <c:v>129</c:v>
                      </c:pt>
                      <c:pt idx="3">
                        <c:v>108</c:v>
                      </c:pt>
                      <c:pt idx="4">
                        <c:v>119</c:v>
                      </c:pt>
                      <c:pt idx="5">
                        <c:v>142</c:v>
                      </c:pt>
                      <c:pt idx="6">
                        <c:v>119</c:v>
                      </c:pt>
                      <c:pt idx="7">
                        <c:v>113</c:v>
                      </c:pt>
                      <c:pt idx="8">
                        <c:v>123</c:v>
                      </c:pt>
                      <c:pt idx="9">
                        <c:v>113</c:v>
                      </c:pt>
                      <c:pt idx="10">
                        <c:v>105</c:v>
                      </c:pt>
                      <c:pt idx="11">
                        <c:v>108</c:v>
                      </c:pt>
                      <c:pt idx="12">
                        <c:v>117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607E-4054-B612-7F609BC9BA7A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vertical'!$D$3</c15:sqref>
                        </c15:formulaRef>
                      </c:ext>
                    </c:extLst>
                    <c:strCache>
                      <c:ptCount val="1"/>
                      <c:pt idx="0">
                        <c:v>Jednostavni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vertical'!$D$4:$D$16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119</c:v>
                      </c:pt>
                      <c:pt idx="2">
                        <c:v>124</c:v>
                      </c:pt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124</c:v>
                      </c:pt>
                      <c:pt idx="6">
                        <c:v>123</c:v>
                      </c:pt>
                      <c:pt idx="7">
                        <c:v>122</c:v>
                      </c:pt>
                      <c:pt idx="8">
                        <c:v>122</c:v>
                      </c:pt>
                      <c:pt idx="9">
                        <c:v>121</c:v>
                      </c:pt>
                      <c:pt idx="10">
                        <c:v>119</c:v>
                      </c:pt>
                      <c:pt idx="11">
                        <c:v>118</c:v>
                      </c:pt>
                      <c:pt idx="12">
                        <c:v>118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07E-4054-B612-7F609BC9BA7A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vertical'!$E$3</c15:sqref>
                        </c15:formulaRef>
                      </c:ext>
                    </c:extLst>
                    <c:strCache>
                      <c:ptCount val="1"/>
                      <c:pt idx="0">
                        <c:v>Pomični 3-period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vertical'!$E$4:$E$16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123</c:v>
                      </c:pt>
                      <c:pt idx="6">
                        <c:v>127</c:v>
                      </c:pt>
                      <c:pt idx="7">
                        <c:v>125</c:v>
                      </c:pt>
                      <c:pt idx="8">
                        <c:v>119</c:v>
                      </c:pt>
                      <c:pt idx="9">
                        <c:v>117</c:v>
                      </c:pt>
                      <c:pt idx="10">
                        <c:v>114</c:v>
                      </c:pt>
                      <c:pt idx="11">
                        <c:v>109</c:v>
                      </c:pt>
                      <c:pt idx="12">
                        <c:v>110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07E-4054-B612-7F609BC9BA7A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vertical'!$F$3</c15:sqref>
                        </c15:formulaRef>
                      </c:ext>
                    </c:extLst>
                    <c:strCache>
                      <c:ptCount val="1"/>
                      <c:pt idx="0">
                        <c:v>Vagani pomični 3-period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vertical'!$F$4:$F$16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3">
                        <c:v>115</c:v>
                      </c:pt>
                      <c:pt idx="4">
                        <c:v>126</c:v>
                      </c:pt>
                      <c:pt idx="5">
                        <c:v>122</c:v>
                      </c:pt>
                      <c:pt idx="6">
                        <c:v>119</c:v>
                      </c:pt>
                      <c:pt idx="7">
                        <c:v>131</c:v>
                      </c:pt>
                      <c:pt idx="8">
                        <c:v>121</c:v>
                      </c:pt>
                      <c:pt idx="9">
                        <c:v>113</c:v>
                      </c:pt>
                      <c:pt idx="10">
                        <c:v>116</c:v>
                      </c:pt>
                      <c:pt idx="11">
                        <c:v>112</c:v>
                      </c:pt>
                      <c:pt idx="12">
                        <c:v>110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07E-4054-B612-7F609BC9BA7A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vertical'!$G$2</c15:sqref>
                        </c15:formulaRef>
                      </c:ext>
                    </c:extLst>
                    <c:strCache>
                      <c:ptCount val="1"/>
                      <c:pt idx="0">
                        <c:v>Brownov model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vertical'!$G$4:$G$16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2">
                        <c:v>124</c:v>
                      </c:pt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127</c:v>
                      </c:pt>
                      <c:pt idx="6">
                        <c:v>125</c:v>
                      </c:pt>
                      <c:pt idx="7">
                        <c:v>121</c:v>
                      </c:pt>
                      <c:pt idx="8">
                        <c:v>122</c:v>
                      </c:pt>
                      <c:pt idx="9">
                        <c:v>119</c:v>
                      </c:pt>
                      <c:pt idx="10">
                        <c:v>115</c:v>
                      </c:pt>
                      <c:pt idx="11">
                        <c:v>113</c:v>
                      </c:pt>
                      <c:pt idx="12">
                        <c:v>115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07E-4054-B612-7F609BC9BA7A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vertical'!$J$3</c15:sqref>
                        </c15:formulaRef>
                      </c:ext>
                    </c:extLst>
                    <c:strCache>
                      <c:ptCount val="1"/>
                      <c:pt idx="0">
                        <c:v>Holtova prognoza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vertical'!$J$4:$J$16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129</c:v>
                      </c:pt>
                      <c:pt idx="2">
                        <c:v>139</c:v>
                      </c:pt>
                      <c:pt idx="3">
                        <c:v>142</c:v>
                      </c:pt>
                      <c:pt idx="4">
                        <c:v>145</c:v>
                      </c:pt>
                      <c:pt idx="5">
                        <c:v>153</c:v>
                      </c:pt>
                      <c:pt idx="6">
                        <c:v>152</c:v>
                      </c:pt>
                      <c:pt idx="7">
                        <c:v>149</c:v>
                      </c:pt>
                      <c:pt idx="8">
                        <c:v>148</c:v>
                      </c:pt>
                      <c:pt idx="9">
                        <c:v>144</c:v>
                      </c:pt>
                      <c:pt idx="10">
                        <c:v>137</c:v>
                      </c:pt>
                      <c:pt idx="11">
                        <c:v>131</c:v>
                      </c:pt>
                      <c:pt idx="12">
                        <c:v>128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2FA-46D5-B448-2D87E18A733A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vertical'!$K$3</c15:sqref>
                        </c15:formulaRef>
                      </c:ext>
                    </c:extLst>
                    <c:strCache>
                      <c:ptCount val="1"/>
                      <c:pt idx="0">
                        <c:v>Linearni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vertical'!$K$4:$K$16</c15:sqref>
                        </c15:formulaRef>
                      </c:ext>
                    </c:extLst>
                    <c:numCache>
                      <c:formatCode>_-* #,##0_-;\-* #,##0_-;_-* "-"??_-;_-@_-</c:formatCode>
                      <c:ptCount val="13"/>
                      <c:pt idx="0">
                        <c:v>124.16666666666667</c:v>
                      </c:pt>
                      <c:pt idx="1">
                        <c:v>123.03030303030305</c:v>
                      </c:pt>
                      <c:pt idx="2">
                        <c:v>121.89393939393941</c:v>
                      </c:pt>
                      <c:pt idx="3">
                        <c:v>120.75757575757576</c:v>
                      </c:pt>
                      <c:pt idx="4">
                        <c:v>119.62121212121214</c:v>
                      </c:pt>
                      <c:pt idx="5">
                        <c:v>118.4848484848485</c:v>
                      </c:pt>
                      <c:pt idx="6">
                        <c:v>117.34848484848486</c:v>
                      </c:pt>
                      <c:pt idx="7">
                        <c:v>116.21212121212122</c:v>
                      </c:pt>
                      <c:pt idx="8">
                        <c:v>115.07575757575759</c:v>
                      </c:pt>
                      <c:pt idx="9">
                        <c:v>113.93939393939395</c:v>
                      </c:pt>
                      <c:pt idx="10">
                        <c:v>112.80303030303031</c:v>
                      </c:pt>
                      <c:pt idx="11">
                        <c:v>111.66666666666669</c:v>
                      </c:pt>
                      <c:pt idx="12">
                        <c:v>110.53030303030305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2FA-46D5-B448-2D87E18A733A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vertical'!$L$3</c15:sqref>
                        </c15:formulaRef>
                      </c:ext>
                    </c:extLst>
                    <c:strCache>
                      <c:ptCount val="1"/>
                      <c:pt idx="0">
                        <c:v>Moćni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vertical'!$L$4:$L$16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125</c:v>
                      </c:pt>
                      <c:pt idx="1">
                        <c:v>122</c:v>
                      </c:pt>
                      <c:pt idx="2">
                        <c:v>120</c:v>
                      </c:pt>
                      <c:pt idx="3">
                        <c:v>119</c:v>
                      </c:pt>
                      <c:pt idx="4">
                        <c:v>118</c:v>
                      </c:pt>
                      <c:pt idx="5">
                        <c:v>118</c:v>
                      </c:pt>
                      <c:pt idx="6">
                        <c:v>117</c:v>
                      </c:pt>
                      <c:pt idx="7">
                        <c:v>116</c:v>
                      </c:pt>
                      <c:pt idx="8">
                        <c:v>116</c:v>
                      </c:pt>
                      <c:pt idx="9">
                        <c:v>115</c:v>
                      </c:pt>
                      <c:pt idx="10">
                        <c:v>115</c:v>
                      </c:pt>
                      <c:pt idx="11">
                        <c:v>115</c:v>
                      </c:pt>
                      <c:pt idx="12">
                        <c:v>114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2FA-46D5-B448-2D87E18A733A}"/>
                  </c:ext>
                </c:extLst>
              </c15:ser>
            </c15:filteredLineSeries>
          </c:ext>
        </c:extLst>
      </c:lineChart>
      <c:catAx>
        <c:axId val="418279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18286016"/>
        <c:crosses val="autoZero"/>
        <c:auto val="1"/>
        <c:lblAlgn val="ctr"/>
        <c:lblOffset val="100"/>
        <c:noMultiLvlLbl val="0"/>
      </c:catAx>
      <c:valAx>
        <c:axId val="418286016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18279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182194471822148E-2"/>
          <c:y val="4.6912218368323412E-2"/>
          <c:w val="0.89019685039370078"/>
          <c:h val="0.64726894682016356"/>
        </c:manualLayout>
      </c:layout>
      <c:lineChart>
        <c:grouping val="standard"/>
        <c:varyColors val="0"/>
        <c:ser>
          <c:idx val="0"/>
          <c:order val="0"/>
          <c:tx>
            <c:strRef>
              <c:f>'Task I index - vertical'!$B$3</c:f>
              <c:strCache>
                <c:ptCount val="1"/>
                <c:pt idx="0">
                  <c:v>Prodaja  [kom]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'Task I index - vertical'!$A$4:$A$16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'Task I index - vertical'!$B$4:$B$16</c:f>
              <c:numCache>
                <c:formatCode>General</c:formatCode>
                <c:ptCount val="13"/>
                <c:pt idx="0">
                  <c:v>119</c:v>
                </c:pt>
                <c:pt idx="1">
                  <c:v>129</c:v>
                </c:pt>
                <c:pt idx="2">
                  <c:v>108</c:v>
                </c:pt>
                <c:pt idx="3">
                  <c:v>119</c:v>
                </c:pt>
                <c:pt idx="4">
                  <c:v>142</c:v>
                </c:pt>
                <c:pt idx="5">
                  <c:v>119</c:v>
                </c:pt>
                <c:pt idx="6">
                  <c:v>113</c:v>
                </c:pt>
                <c:pt idx="7">
                  <c:v>123</c:v>
                </c:pt>
                <c:pt idx="8">
                  <c:v>113</c:v>
                </c:pt>
                <c:pt idx="9">
                  <c:v>105</c:v>
                </c:pt>
                <c:pt idx="10">
                  <c:v>108</c:v>
                </c:pt>
                <c:pt idx="11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23-4EAA-8AEB-A427353A4B54}"/>
            </c:ext>
          </c:extLst>
        </c:ser>
        <c:ser>
          <c:idx val="10"/>
          <c:order val="9"/>
          <c:tx>
            <c:strRef>
              <c:f>'Task I index - vertical'!$M$3</c:f>
              <c:strCache>
                <c:ptCount val="1"/>
                <c:pt idx="0">
                  <c:v>Logaritamski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vertical'!$M$4:$M$16</c:f>
              <c:numCache>
                <c:formatCode>_-* #,##0_-;\-* #,##0_-;_-* "-"??_-;_-@_-</c:formatCode>
                <c:ptCount val="13"/>
                <c:pt idx="0">
                  <c:v>124.96883830567074</c:v>
                </c:pt>
                <c:pt idx="1">
                  <c:v>122.03404643291944</c:v>
                </c:pt>
                <c:pt idx="2">
                  <c:v>120.3173032399387</c:v>
                </c:pt>
                <c:pt idx="3">
                  <c:v>119.09925456016812</c:v>
                </c:pt>
                <c:pt idx="4">
                  <c:v>118.15446260368238</c:v>
                </c:pt>
                <c:pt idx="5">
                  <c:v>117.38251136718739</c:v>
                </c:pt>
                <c:pt idx="6">
                  <c:v>116.7298358964877</c:v>
                </c:pt>
                <c:pt idx="7">
                  <c:v>116.1644626874168</c:v>
                </c:pt>
                <c:pt idx="8">
                  <c:v>115.66576817420665</c:v>
                </c:pt>
                <c:pt idx="9">
                  <c:v>115.21967073093106</c:v>
                </c:pt>
                <c:pt idx="10">
                  <c:v>114.81612650695509</c:v>
                </c:pt>
                <c:pt idx="11">
                  <c:v>114.44771949443607</c:v>
                </c:pt>
                <c:pt idx="12" formatCode="0">
                  <c:v>114.10881789526411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23-4EAA-8AEB-A427353A4B54}"/>
            </c:ext>
          </c:extLst>
        </c:ser>
        <c:ser>
          <c:idx val="6"/>
          <c:order val="10"/>
          <c:tx>
            <c:strRef>
              <c:f>'Task I index - vertical'!$N$3</c:f>
              <c:strCache>
                <c:ptCount val="1"/>
                <c:pt idx="0">
                  <c:v>Eksponencijalni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vertical'!$N$4:$N$16</c:f>
              <c:numCache>
                <c:formatCode>_-* #,##0_-;\-* #,##0_-;_-* "-"??_-;_-@_-</c:formatCode>
                <c:ptCount val="13"/>
                <c:pt idx="0">
                  <c:v>123.85159458875836</c:v>
                </c:pt>
                <c:pt idx="1">
                  <c:v>122.6775240411218</c:v>
                </c:pt>
                <c:pt idx="2">
                  <c:v>121.51458327873672</c:v>
                </c:pt>
                <c:pt idx="3">
                  <c:v>120.3626667950644</c:v>
                </c:pt>
                <c:pt idx="4">
                  <c:v>119.22167008373174</c:v>
                </c:pt>
                <c:pt idx="5">
                  <c:v>118.09148962905023</c:v>
                </c:pt>
                <c:pt idx="6">
                  <c:v>116.97202289662447</c:v>
                </c:pt>
                <c:pt idx="7">
                  <c:v>115.86316832404991</c:v>
                </c:pt>
                <c:pt idx="8">
                  <c:v>114.76482531169864</c:v>
                </c:pt>
                <c:pt idx="9">
                  <c:v>113.6768942135927</c:v>
                </c:pt>
                <c:pt idx="10">
                  <c:v>112.59927632836371</c:v>
                </c:pt>
                <c:pt idx="11">
                  <c:v>111.53187389029836</c:v>
                </c:pt>
                <c:pt idx="12" formatCode="0">
                  <c:v>110.47459006046869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23-4EAA-8AEB-A427353A4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8279784"/>
        <c:axId val="418286016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'Task I index - vertical'!$C$2</c15:sqref>
                        </c15:formulaRef>
                      </c:ext>
                    </c:extLst>
                    <c:strCache>
                      <c:ptCount val="1"/>
                      <c:pt idx="0">
                        <c:v>Naivni model 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'Task I index - vertical'!$C$4:$C$16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119</c:v>
                      </c:pt>
                      <c:pt idx="2">
                        <c:v>129</c:v>
                      </c:pt>
                      <c:pt idx="3">
                        <c:v>108</c:v>
                      </c:pt>
                      <c:pt idx="4">
                        <c:v>119</c:v>
                      </c:pt>
                      <c:pt idx="5">
                        <c:v>142</c:v>
                      </c:pt>
                      <c:pt idx="6">
                        <c:v>119</c:v>
                      </c:pt>
                      <c:pt idx="7">
                        <c:v>113</c:v>
                      </c:pt>
                      <c:pt idx="8">
                        <c:v>123</c:v>
                      </c:pt>
                      <c:pt idx="9">
                        <c:v>113</c:v>
                      </c:pt>
                      <c:pt idx="10">
                        <c:v>105</c:v>
                      </c:pt>
                      <c:pt idx="11">
                        <c:v>108</c:v>
                      </c:pt>
                      <c:pt idx="12">
                        <c:v>117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7623-4EAA-8AEB-A427353A4B54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vertical'!$D$3</c15:sqref>
                        </c15:formulaRef>
                      </c:ext>
                    </c:extLst>
                    <c:strCache>
                      <c:ptCount val="1"/>
                      <c:pt idx="0">
                        <c:v>Jednostavni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vertical'!$D$4:$D$16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119</c:v>
                      </c:pt>
                      <c:pt idx="2">
                        <c:v>124</c:v>
                      </c:pt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124</c:v>
                      </c:pt>
                      <c:pt idx="6">
                        <c:v>123</c:v>
                      </c:pt>
                      <c:pt idx="7">
                        <c:v>122</c:v>
                      </c:pt>
                      <c:pt idx="8">
                        <c:v>122</c:v>
                      </c:pt>
                      <c:pt idx="9">
                        <c:v>121</c:v>
                      </c:pt>
                      <c:pt idx="10">
                        <c:v>119</c:v>
                      </c:pt>
                      <c:pt idx="11">
                        <c:v>118</c:v>
                      </c:pt>
                      <c:pt idx="12">
                        <c:v>118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7623-4EAA-8AEB-A427353A4B54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vertical'!$E$3</c15:sqref>
                        </c15:formulaRef>
                      </c:ext>
                    </c:extLst>
                    <c:strCache>
                      <c:ptCount val="1"/>
                      <c:pt idx="0">
                        <c:v>Pomični 3-period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vertical'!$E$4:$E$16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123</c:v>
                      </c:pt>
                      <c:pt idx="6">
                        <c:v>127</c:v>
                      </c:pt>
                      <c:pt idx="7">
                        <c:v>125</c:v>
                      </c:pt>
                      <c:pt idx="8">
                        <c:v>119</c:v>
                      </c:pt>
                      <c:pt idx="9">
                        <c:v>117</c:v>
                      </c:pt>
                      <c:pt idx="10">
                        <c:v>114</c:v>
                      </c:pt>
                      <c:pt idx="11">
                        <c:v>109</c:v>
                      </c:pt>
                      <c:pt idx="12">
                        <c:v>110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7623-4EAA-8AEB-A427353A4B54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vertical'!$F$3</c15:sqref>
                        </c15:formulaRef>
                      </c:ext>
                    </c:extLst>
                    <c:strCache>
                      <c:ptCount val="1"/>
                      <c:pt idx="0">
                        <c:v>Vagani pomični 3-period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vertical'!$F$4:$F$16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3">
                        <c:v>115</c:v>
                      </c:pt>
                      <c:pt idx="4">
                        <c:v>126</c:v>
                      </c:pt>
                      <c:pt idx="5">
                        <c:v>122</c:v>
                      </c:pt>
                      <c:pt idx="6">
                        <c:v>119</c:v>
                      </c:pt>
                      <c:pt idx="7">
                        <c:v>131</c:v>
                      </c:pt>
                      <c:pt idx="8">
                        <c:v>121</c:v>
                      </c:pt>
                      <c:pt idx="9">
                        <c:v>113</c:v>
                      </c:pt>
                      <c:pt idx="10">
                        <c:v>116</c:v>
                      </c:pt>
                      <c:pt idx="11">
                        <c:v>112</c:v>
                      </c:pt>
                      <c:pt idx="12">
                        <c:v>110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7623-4EAA-8AEB-A427353A4B54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vertical'!$G$2</c15:sqref>
                        </c15:formulaRef>
                      </c:ext>
                    </c:extLst>
                    <c:strCache>
                      <c:ptCount val="1"/>
                      <c:pt idx="0">
                        <c:v>Brownov model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vertical'!$G$4:$G$16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2">
                        <c:v>124</c:v>
                      </c:pt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127</c:v>
                      </c:pt>
                      <c:pt idx="6">
                        <c:v>125</c:v>
                      </c:pt>
                      <c:pt idx="7">
                        <c:v>121</c:v>
                      </c:pt>
                      <c:pt idx="8">
                        <c:v>122</c:v>
                      </c:pt>
                      <c:pt idx="9">
                        <c:v>119</c:v>
                      </c:pt>
                      <c:pt idx="10">
                        <c:v>115</c:v>
                      </c:pt>
                      <c:pt idx="11">
                        <c:v>113</c:v>
                      </c:pt>
                      <c:pt idx="12">
                        <c:v>115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623-4EAA-8AEB-A427353A4B54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vertical'!$J$3</c15:sqref>
                        </c15:formulaRef>
                      </c:ext>
                    </c:extLst>
                    <c:strCache>
                      <c:ptCount val="1"/>
                      <c:pt idx="0">
                        <c:v>Holtova prognoza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vertical'!$J$4:$J$16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129</c:v>
                      </c:pt>
                      <c:pt idx="2">
                        <c:v>139</c:v>
                      </c:pt>
                      <c:pt idx="3">
                        <c:v>142</c:v>
                      </c:pt>
                      <c:pt idx="4">
                        <c:v>145</c:v>
                      </c:pt>
                      <c:pt idx="5">
                        <c:v>153</c:v>
                      </c:pt>
                      <c:pt idx="6">
                        <c:v>152</c:v>
                      </c:pt>
                      <c:pt idx="7">
                        <c:v>149</c:v>
                      </c:pt>
                      <c:pt idx="8">
                        <c:v>148</c:v>
                      </c:pt>
                      <c:pt idx="9">
                        <c:v>144</c:v>
                      </c:pt>
                      <c:pt idx="10">
                        <c:v>137</c:v>
                      </c:pt>
                      <c:pt idx="11">
                        <c:v>131</c:v>
                      </c:pt>
                      <c:pt idx="12">
                        <c:v>128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623-4EAA-8AEB-A427353A4B54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vertical'!$K$3</c15:sqref>
                        </c15:formulaRef>
                      </c:ext>
                    </c:extLst>
                    <c:strCache>
                      <c:ptCount val="1"/>
                      <c:pt idx="0">
                        <c:v>Linearni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vertical'!$K$4:$K$16</c15:sqref>
                        </c15:formulaRef>
                      </c:ext>
                    </c:extLst>
                    <c:numCache>
                      <c:formatCode>_-* #,##0_-;\-* #,##0_-;_-* "-"??_-;_-@_-</c:formatCode>
                      <c:ptCount val="13"/>
                      <c:pt idx="0">
                        <c:v>124.16666666666667</c:v>
                      </c:pt>
                      <c:pt idx="1">
                        <c:v>123.03030303030305</c:v>
                      </c:pt>
                      <c:pt idx="2">
                        <c:v>121.89393939393941</c:v>
                      </c:pt>
                      <c:pt idx="3">
                        <c:v>120.75757575757576</c:v>
                      </c:pt>
                      <c:pt idx="4">
                        <c:v>119.62121212121214</c:v>
                      </c:pt>
                      <c:pt idx="5">
                        <c:v>118.4848484848485</c:v>
                      </c:pt>
                      <c:pt idx="6">
                        <c:v>117.34848484848486</c:v>
                      </c:pt>
                      <c:pt idx="7">
                        <c:v>116.21212121212122</c:v>
                      </c:pt>
                      <c:pt idx="8">
                        <c:v>115.07575757575759</c:v>
                      </c:pt>
                      <c:pt idx="9">
                        <c:v>113.93939393939395</c:v>
                      </c:pt>
                      <c:pt idx="10">
                        <c:v>112.80303030303031</c:v>
                      </c:pt>
                      <c:pt idx="11">
                        <c:v>111.66666666666669</c:v>
                      </c:pt>
                      <c:pt idx="12">
                        <c:v>110.53030303030305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623-4EAA-8AEB-A427353A4B54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vertical'!$L$3</c15:sqref>
                        </c15:formulaRef>
                      </c:ext>
                    </c:extLst>
                    <c:strCache>
                      <c:ptCount val="1"/>
                      <c:pt idx="0">
                        <c:v>Moćni [kom]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vertical'!$L$4:$L$16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125</c:v>
                      </c:pt>
                      <c:pt idx="1">
                        <c:v>122</c:v>
                      </c:pt>
                      <c:pt idx="2">
                        <c:v>120</c:v>
                      </c:pt>
                      <c:pt idx="3">
                        <c:v>119</c:v>
                      </c:pt>
                      <c:pt idx="4">
                        <c:v>118</c:v>
                      </c:pt>
                      <c:pt idx="5">
                        <c:v>118</c:v>
                      </c:pt>
                      <c:pt idx="6">
                        <c:v>117</c:v>
                      </c:pt>
                      <c:pt idx="7">
                        <c:v>116</c:v>
                      </c:pt>
                      <c:pt idx="8">
                        <c:v>116</c:v>
                      </c:pt>
                      <c:pt idx="9">
                        <c:v>115</c:v>
                      </c:pt>
                      <c:pt idx="10">
                        <c:v>115</c:v>
                      </c:pt>
                      <c:pt idx="11">
                        <c:v>115</c:v>
                      </c:pt>
                      <c:pt idx="12">
                        <c:v>114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623-4EAA-8AEB-A427353A4B54}"/>
                  </c:ext>
                </c:extLst>
              </c15:ser>
            </c15:filteredLineSeries>
          </c:ext>
        </c:extLst>
      </c:lineChart>
      <c:catAx>
        <c:axId val="418279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18286016"/>
        <c:crosses val="autoZero"/>
        <c:auto val="1"/>
        <c:lblAlgn val="ctr"/>
        <c:lblOffset val="100"/>
        <c:noMultiLvlLbl val="0"/>
      </c:catAx>
      <c:valAx>
        <c:axId val="418286016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18279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'Task I index - vertical'!$B$3</c:f>
              <c:strCache>
                <c:ptCount val="1"/>
                <c:pt idx="0">
                  <c:v>Prodaja  [kom]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vertical'!$B$4:$B$15</c:f>
              <c:numCache>
                <c:formatCode>General</c:formatCode>
                <c:ptCount val="12"/>
                <c:pt idx="0">
                  <c:v>119</c:v>
                </c:pt>
                <c:pt idx="1">
                  <c:v>129</c:v>
                </c:pt>
                <c:pt idx="2">
                  <c:v>108</c:v>
                </c:pt>
                <c:pt idx="3">
                  <c:v>119</c:v>
                </c:pt>
                <c:pt idx="4">
                  <c:v>142</c:v>
                </c:pt>
                <c:pt idx="5">
                  <c:v>119</c:v>
                </c:pt>
                <c:pt idx="6">
                  <c:v>113</c:v>
                </c:pt>
                <c:pt idx="7">
                  <c:v>123</c:v>
                </c:pt>
                <c:pt idx="8">
                  <c:v>113</c:v>
                </c:pt>
                <c:pt idx="9">
                  <c:v>105</c:v>
                </c:pt>
                <c:pt idx="10">
                  <c:v>108</c:v>
                </c:pt>
                <c:pt idx="11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7A-4308-A49D-2B01C4FD1AA3}"/>
            </c:ext>
          </c:extLst>
        </c:ser>
        <c:ser>
          <c:idx val="2"/>
          <c:order val="1"/>
          <c:tx>
            <c:strRef>
              <c:f>'Task I index - vertical'!$K$3</c:f>
              <c:strCache>
                <c:ptCount val="1"/>
                <c:pt idx="0">
                  <c:v>Linearni [kom]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vertical'!$K$4:$K$16</c:f>
              <c:numCache>
                <c:formatCode>_-* #,##0_-;\-* #,##0_-;_-* "-"??_-;_-@_-</c:formatCode>
                <c:ptCount val="13"/>
                <c:pt idx="0">
                  <c:v>124.16666666666667</c:v>
                </c:pt>
                <c:pt idx="1">
                  <c:v>123.03030303030305</c:v>
                </c:pt>
                <c:pt idx="2">
                  <c:v>121.89393939393941</c:v>
                </c:pt>
                <c:pt idx="3">
                  <c:v>120.75757575757576</c:v>
                </c:pt>
                <c:pt idx="4">
                  <c:v>119.62121212121214</c:v>
                </c:pt>
                <c:pt idx="5">
                  <c:v>118.4848484848485</c:v>
                </c:pt>
                <c:pt idx="6">
                  <c:v>117.34848484848486</c:v>
                </c:pt>
                <c:pt idx="7">
                  <c:v>116.21212121212122</c:v>
                </c:pt>
                <c:pt idx="8">
                  <c:v>115.07575757575759</c:v>
                </c:pt>
                <c:pt idx="9">
                  <c:v>113.93939393939395</c:v>
                </c:pt>
                <c:pt idx="10">
                  <c:v>112.80303030303031</c:v>
                </c:pt>
                <c:pt idx="11">
                  <c:v>111.66666666666669</c:v>
                </c:pt>
                <c:pt idx="12">
                  <c:v>110.53030303030305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7A-4308-A49D-2B01C4FD1AA3}"/>
            </c:ext>
          </c:extLst>
        </c:ser>
        <c:ser>
          <c:idx val="3"/>
          <c:order val="2"/>
          <c:tx>
            <c:strRef>
              <c:f>'Zadanie I indeks - pionowy'!#REF!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'Zadanie I indeks - pionowy'!#REF!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7A-4308-A49D-2B01C4FD1AA3}"/>
            </c:ext>
          </c:extLst>
        </c:ser>
        <c:ser>
          <c:idx val="4"/>
          <c:order val="3"/>
          <c:tx>
            <c:strRef>
              <c:f>'Task I index - vertical'!$L$3</c:f>
              <c:strCache>
                <c:ptCount val="1"/>
                <c:pt idx="0">
                  <c:v>Moćni [kom]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vertical'!$L$4:$L$16</c:f>
              <c:numCache>
                <c:formatCode>General</c:formatCode>
                <c:ptCount val="13"/>
                <c:pt idx="0">
                  <c:v>125</c:v>
                </c:pt>
                <c:pt idx="1">
                  <c:v>122</c:v>
                </c:pt>
                <c:pt idx="2">
                  <c:v>120</c:v>
                </c:pt>
                <c:pt idx="3">
                  <c:v>119</c:v>
                </c:pt>
                <c:pt idx="4">
                  <c:v>118</c:v>
                </c:pt>
                <c:pt idx="5">
                  <c:v>118</c:v>
                </c:pt>
                <c:pt idx="6">
                  <c:v>117</c:v>
                </c:pt>
                <c:pt idx="7">
                  <c:v>116</c:v>
                </c:pt>
                <c:pt idx="8">
                  <c:v>116</c:v>
                </c:pt>
                <c:pt idx="9">
                  <c:v>115</c:v>
                </c:pt>
                <c:pt idx="10">
                  <c:v>115</c:v>
                </c:pt>
                <c:pt idx="11">
                  <c:v>115</c:v>
                </c:pt>
                <c:pt idx="12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7A-4308-A49D-2B01C4FD1AA3}"/>
            </c:ext>
          </c:extLst>
        </c:ser>
        <c:ser>
          <c:idx val="5"/>
          <c:order val="4"/>
          <c:tx>
            <c:strRef>
              <c:f>'Task I index - vertical'!$G$2</c:f>
              <c:strCache>
                <c:ptCount val="1"/>
                <c:pt idx="0">
                  <c:v>Brownov model [kom]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vertical'!$G$4:$G$16</c:f>
              <c:numCache>
                <c:formatCode>General</c:formatCode>
                <c:ptCount val="13"/>
                <c:pt idx="2">
                  <c:v>124</c:v>
                </c:pt>
                <c:pt idx="3">
                  <c:v>119</c:v>
                </c:pt>
                <c:pt idx="4">
                  <c:v>119</c:v>
                </c:pt>
                <c:pt idx="5">
                  <c:v>127</c:v>
                </c:pt>
                <c:pt idx="6">
                  <c:v>125</c:v>
                </c:pt>
                <c:pt idx="7">
                  <c:v>121</c:v>
                </c:pt>
                <c:pt idx="8">
                  <c:v>122</c:v>
                </c:pt>
                <c:pt idx="9">
                  <c:v>119</c:v>
                </c:pt>
                <c:pt idx="10">
                  <c:v>115</c:v>
                </c:pt>
                <c:pt idx="11">
                  <c:v>113</c:v>
                </c:pt>
                <c:pt idx="12">
                  <c:v>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7A-4308-A49D-2B01C4FD1AA3}"/>
            </c:ext>
          </c:extLst>
        </c:ser>
        <c:ser>
          <c:idx val="6"/>
          <c:order val="5"/>
          <c:tx>
            <c:strRef>
              <c:f>'Task I index - vertical'!$J$3</c:f>
              <c:strCache>
                <c:ptCount val="1"/>
                <c:pt idx="0">
                  <c:v>Holtova prognoza [kom]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vertical'!$J$4:$J$16</c:f>
              <c:numCache>
                <c:formatCode>General</c:formatCode>
                <c:ptCount val="13"/>
                <c:pt idx="1">
                  <c:v>129</c:v>
                </c:pt>
                <c:pt idx="2">
                  <c:v>139</c:v>
                </c:pt>
                <c:pt idx="3">
                  <c:v>142</c:v>
                </c:pt>
                <c:pt idx="4">
                  <c:v>145</c:v>
                </c:pt>
                <c:pt idx="5">
                  <c:v>153</c:v>
                </c:pt>
                <c:pt idx="6">
                  <c:v>152</c:v>
                </c:pt>
                <c:pt idx="7">
                  <c:v>149</c:v>
                </c:pt>
                <c:pt idx="8">
                  <c:v>148</c:v>
                </c:pt>
                <c:pt idx="9">
                  <c:v>144</c:v>
                </c:pt>
                <c:pt idx="10">
                  <c:v>137</c:v>
                </c:pt>
                <c:pt idx="11">
                  <c:v>131</c:v>
                </c:pt>
                <c:pt idx="12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7A-4308-A49D-2B01C4FD1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9611952"/>
        <c:axId val="1149617232"/>
      </c:lineChart>
      <c:catAx>
        <c:axId val="11496119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49617232"/>
        <c:crosses val="autoZero"/>
        <c:auto val="1"/>
        <c:lblAlgn val="ctr"/>
        <c:lblOffset val="100"/>
        <c:noMultiLvlLbl val="0"/>
      </c:catAx>
      <c:valAx>
        <c:axId val="114961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49611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 graf - prosjeci</a:t>
            </a:r>
          </a:p>
        </c:rich>
      </c:tx>
      <c:layout>
        <c:manualLayout>
          <c:xMode val="edge"/>
          <c:yMode val="edge"/>
          <c:x val="0.45557573094876969"/>
          <c:y val="1.79178768202991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Actual data</c:v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'Task II index - horizontal'!$H$6:$AC$6</c:f>
              <c:numCache>
                <c:formatCode>_-* #,##0_-;\-* #,##0_-;_-* "-"??_-;_-@_-</c:formatCode>
                <c:ptCount val="22"/>
                <c:pt idx="0">
                  <c:v>29802</c:v>
                </c:pt>
                <c:pt idx="1">
                  <c:v>27904</c:v>
                </c:pt>
                <c:pt idx="2">
                  <c:v>27833</c:v>
                </c:pt>
                <c:pt idx="3">
                  <c:v>29818</c:v>
                </c:pt>
                <c:pt idx="4">
                  <c:v>33432</c:v>
                </c:pt>
                <c:pt idx="5">
                  <c:v>28803</c:v>
                </c:pt>
                <c:pt idx="6">
                  <c:v>40292</c:v>
                </c:pt>
                <c:pt idx="7">
                  <c:v>26278</c:v>
                </c:pt>
                <c:pt idx="8">
                  <c:v>42540</c:v>
                </c:pt>
                <c:pt idx="9">
                  <c:v>37172</c:v>
                </c:pt>
                <c:pt idx="10">
                  <c:v>41637</c:v>
                </c:pt>
                <c:pt idx="11">
                  <c:v>31219</c:v>
                </c:pt>
                <c:pt idx="12">
                  <c:v>28676</c:v>
                </c:pt>
                <c:pt idx="13">
                  <c:v>49731</c:v>
                </c:pt>
                <c:pt idx="14">
                  <c:v>41224</c:v>
                </c:pt>
                <c:pt idx="15">
                  <c:v>32655</c:v>
                </c:pt>
                <c:pt idx="16">
                  <c:v>28540</c:v>
                </c:pt>
                <c:pt idx="17">
                  <c:v>21790</c:v>
                </c:pt>
                <c:pt idx="18">
                  <c:v>37336</c:v>
                </c:pt>
                <c:pt idx="19">
                  <c:v>42633</c:v>
                </c:pt>
                <c:pt idx="20">
                  <c:v>31691</c:v>
                </c:pt>
                <c:pt idx="21">
                  <c:v>43098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CD-42BF-BF55-DE3CD2272EB2}"/>
            </c:ext>
          </c:extLst>
        </c:ser>
        <c:ser>
          <c:idx val="4"/>
          <c:order val="1"/>
          <c:tx>
            <c:strRef>
              <c:f>'Task II index - horizontal'!$F$8</c:f>
              <c:strCache>
                <c:ptCount val="1"/>
                <c:pt idx="0">
                  <c:v>vagani prosjek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horizontal'!$AD$8:$BB$8</c:f>
              <c:numCache>
                <c:formatCode>General</c:formatCode>
                <c:ptCount val="25"/>
                <c:pt idx="5" formatCode="_-* #,##0_-;\-* #,##0_-;_-* &quot;-&quot;??_-;_-@_-">
                  <c:v>30772.85</c:v>
                </c:pt>
                <c:pt idx="6" formatCode="_-* #,##0_-;\-* #,##0_-;_-* &quot;-&quot;??_-;_-@_-">
                  <c:v>29925.600000000002</c:v>
                </c:pt>
                <c:pt idx="7" formatCode="_-* #,##0_-;\-* #,##0_-;_-* &quot;-&quot;??_-;_-@_-">
                  <c:v>34097.450000000004</c:v>
                </c:pt>
                <c:pt idx="8" formatCode="_-* #,##0_-;\-* #,##0_-;_-* &quot;-&quot;??_-;_-@_-">
                  <c:v>31229.65</c:v>
                </c:pt>
                <c:pt idx="9" formatCode="_-* #,##0_-;\-* #,##0_-;_-* &quot;-&quot;??_-;_-@_-">
                  <c:v>35852.800000000003</c:v>
                </c:pt>
                <c:pt idx="10" formatCode="_-* #,##0_-;\-* #,##0_-;_-* &quot;-&quot;??_-;_-@_-">
                  <c:v>36355</c:v>
                </c:pt>
                <c:pt idx="11" formatCode="_-* #,##0_-;\-* #,##0_-;_-* &quot;-&quot;??_-;_-@_-">
                  <c:v>38985.800000000003</c:v>
                </c:pt>
                <c:pt idx="12" formatCode="_-* #,##0_-;\-* #,##0_-;_-* &quot;-&quot;??_-;_-@_-">
                  <c:v>35354.449999999997</c:v>
                </c:pt>
                <c:pt idx="13" formatCode="_-* #,##0_-;\-* #,##0_-;_-* &quot;-&quot;??_-;_-@_-">
                  <c:v>33491.9</c:v>
                </c:pt>
                <c:pt idx="14" formatCode="_-* #,##0_-;\-* #,##0_-;_-* &quot;-&quot;??_-;_-@_-">
                  <c:v>39625.15</c:v>
                </c:pt>
                <c:pt idx="15" formatCode="_-* #,##0_-;\-* #,##0_-;_-* &quot;-&quot;??_-;_-@_-">
                  <c:v>40509.350000000006</c:v>
                </c:pt>
                <c:pt idx="16" formatCode="_-* #,##0_-;\-* #,##0_-;_-* &quot;-&quot;??_-;_-@_-">
                  <c:v>36817.15</c:v>
                </c:pt>
                <c:pt idx="17" formatCode="_-* #,##0_-;\-* #,##0_-;_-* &quot;-&quot;??_-;_-@_-">
                  <c:v>33604.050000000003</c:v>
                </c:pt>
                <c:pt idx="18" formatCode="_-* #,##0_-;\-* #,##0_-;_-* &quot;-&quot;??_-;_-@_-">
                  <c:v>29844.75</c:v>
                </c:pt>
                <c:pt idx="19" formatCode="_-* #,##0_-;\-* #,##0_-;_-* &quot;-&quot;??_-;_-@_-">
                  <c:v>32050.800000000003</c:v>
                </c:pt>
                <c:pt idx="20" formatCode="_-* #,##0_-;\-* #,##0_-;_-* &quot;-&quot;??_-;_-@_-">
                  <c:v>35775.199999999997</c:v>
                </c:pt>
                <c:pt idx="21" formatCode="_-* #,##0_-;\-* #,##0_-;_-* &quot;-&quot;??_-;_-@_-">
                  <c:v>33968.050000000003</c:v>
                </c:pt>
                <c:pt idx="22" formatCode="_-* #,##0_-;\-* #,##0_-;_-* &quot;-&quot;??_-;_-@_-">
                  <c:v>37469.5</c:v>
                </c:pt>
                <c:pt idx="23" formatCode="_-* #,##0_-;\-* #,##0_-;_-* &quot;-&quot;??_-;_-@_-">
                  <c:v>37469.5</c:v>
                </c:pt>
                <c:pt idx="24" formatCode="_-* #,##0_-;\-* #,##0_-;_-* &quot;-&quot;??_-;_-@_-">
                  <c:v>37469.5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4CD-42BF-BF55-DE3CD2272EB2}"/>
            </c:ext>
          </c:extLst>
        </c:ser>
        <c:ser>
          <c:idx val="6"/>
          <c:order val="2"/>
          <c:tx>
            <c:strRef>
              <c:f>'Task II index - horizontal'!$F$10</c:f>
              <c:strCache>
                <c:ptCount val="1"/>
                <c:pt idx="0">
                  <c:v>pomični prosjek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horizontal'!$AD$10:$BB$10</c:f>
              <c:numCache>
                <c:formatCode>General</c:formatCode>
                <c:ptCount val="25"/>
                <c:pt idx="3" formatCode="_-* #,##0_-;\-* #,##0_-;_-* &quot;-&quot;??_-;_-@_-">
                  <c:v>28513</c:v>
                </c:pt>
                <c:pt idx="4" formatCode="_-* #,##0_-;\-* #,##0_-;_-* &quot;-&quot;??_-;_-@_-">
                  <c:v>28518.333333333332</c:v>
                </c:pt>
                <c:pt idx="5" formatCode="_-* #,##0_-;\-* #,##0_-;_-* &quot;-&quot;??_-;_-@_-">
                  <c:v>30361</c:v>
                </c:pt>
                <c:pt idx="6" formatCode="_-* #,##0_-;\-* #,##0_-;_-* &quot;-&quot;??_-;_-@_-">
                  <c:v>30684.333333333332</c:v>
                </c:pt>
                <c:pt idx="7" formatCode="_-* #,##0_-;\-* #,##0_-;_-* &quot;-&quot;??_-;_-@_-">
                  <c:v>34175.666666666664</c:v>
                </c:pt>
                <c:pt idx="8" formatCode="_-* #,##0_-;\-* #,##0_-;_-* &quot;-&quot;??_-;_-@_-">
                  <c:v>31791</c:v>
                </c:pt>
                <c:pt idx="9" formatCode="_-* #,##0_-;\-* #,##0_-;_-* &quot;-&quot;??_-;_-@_-">
                  <c:v>36370</c:v>
                </c:pt>
                <c:pt idx="10" formatCode="_-* #,##0_-;\-* #,##0_-;_-* &quot;-&quot;??_-;_-@_-">
                  <c:v>35330</c:v>
                </c:pt>
                <c:pt idx="11" formatCode="_-* #,##0_-;\-* #,##0_-;_-* &quot;-&quot;??_-;_-@_-">
                  <c:v>40449.666666666664</c:v>
                </c:pt>
                <c:pt idx="12" formatCode="_-* #,##0_-;\-* #,##0_-;_-* &quot;-&quot;??_-;_-@_-">
                  <c:v>36676</c:v>
                </c:pt>
                <c:pt idx="13" formatCode="_-* #,##0_-;\-* #,##0_-;_-* &quot;-&quot;??_-;_-@_-">
                  <c:v>33844</c:v>
                </c:pt>
                <c:pt idx="14" formatCode="_-* #,##0_-;\-* #,##0_-;_-* &quot;-&quot;??_-;_-@_-">
                  <c:v>36542</c:v>
                </c:pt>
                <c:pt idx="15" formatCode="_-* #,##0_-;\-* #,##0_-;_-* &quot;-&quot;??_-;_-@_-">
                  <c:v>39877</c:v>
                </c:pt>
                <c:pt idx="16" formatCode="_-* #,##0_-;\-* #,##0_-;_-* &quot;-&quot;??_-;_-@_-">
                  <c:v>41203.333333333336</c:v>
                </c:pt>
                <c:pt idx="17" formatCode="_-* #,##0_-;\-* #,##0_-;_-* &quot;-&quot;??_-;_-@_-">
                  <c:v>34139.666666666664</c:v>
                </c:pt>
                <c:pt idx="18" formatCode="_-* #,##0_-;\-* #,##0_-;_-* &quot;-&quot;??_-;_-@_-">
                  <c:v>27661.666666666668</c:v>
                </c:pt>
                <c:pt idx="19" formatCode="_-* #,##0_-;\-* #,##0_-;_-* &quot;-&quot;??_-;_-@_-">
                  <c:v>29222</c:v>
                </c:pt>
                <c:pt idx="20" formatCode="_-* #,##0_-;\-* #,##0_-;_-* &quot;-&quot;??_-;_-@_-">
                  <c:v>33919.666666666664</c:v>
                </c:pt>
                <c:pt idx="21" formatCode="_-* #,##0_-;\-* #,##0_-;_-* &quot;-&quot;??_-;_-@_-">
                  <c:v>37220</c:v>
                </c:pt>
                <c:pt idx="22" formatCode="_-* #,##0_-;\-* #,##0_-;_-* &quot;-&quot;??_-;_-@_-">
                  <c:v>39140.666666666664</c:v>
                </c:pt>
                <c:pt idx="23" formatCode="_-* #,##0_-;\-* #,##0_-;_-* &quot;-&quot;??_-;_-@_-">
                  <c:v>39140.666666666664</c:v>
                </c:pt>
                <c:pt idx="24" formatCode="_-* #,##0_-;\-* #,##0_-;_-* &quot;-&quot;??_-;_-@_-">
                  <c:v>39140.666666666664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4CD-42BF-BF55-DE3CD2272EB2}"/>
            </c:ext>
          </c:extLst>
        </c:ser>
        <c:ser>
          <c:idx val="8"/>
          <c:order val="3"/>
          <c:tx>
            <c:strRef>
              <c:f>'Task II index - horizontal'!$F$6</c:f>
              <c:strCache>
                <c:ptCount val="1"/>
                <c:pt idx="0">
                  <c:v>Aritmetički prosjek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horizontal'!$AD$6:$BB$6</c:f>
              <c:numCache>
                <c:formatCode>_-* #,##0_-;\-* #,##0_-;_-* "-"??_-;_-@_-</c:formatCode>
                <c:ptCount val="25"/>
                <c:pt idx="1">
                  <c:v>29802</c:v>
                </c:pt>
                <c:pt idx="2">
                  <c:v>28853</c:v>
                </c:pt>
                <c:pt idx="3">
                  <c:v>28513</c:v>
                </c:pt>
                <c:pt idx="4">
                  <c:v>28839.25</c:v>
                </c:pt>
                <c:pt idx="5">
                  <c:v>29757.8</c:v>
                </c:pt>
                <c:pt idx="6">
                  <c:v>29598.666666666668</c:v>
                </c:pt>
                <c:pt idx="7">
                  <c:v>31126.285714285714</c:v>
                </c:pt>
                <c:pt idx="8">
                  <c:v>30520.25</c:v>
                </c:pt>
                <c:pt idx="9">
                  <c:v>31855.777777777777</c:v>
                </c:pt>
                <c:pt idx="10">
                  <c:v>32387.4</c:v>
                </c:pt>
                <c:pt idx="11">
                  <c:v>33228.272727272728</c:v>
                </c:pt>
                <c:pt idx="12">
                  <c:v>33060.833333333336</c:v>
                </c:pt>
                <c:pt idx="13">
                  <c:v>32723.538461538461</c:v>
                </c:pt>
                <c:pt idx="14">
                  <c:v>33938.357142857145</c:v>
                </c:pt>
                <c:pt idx="15">
                  <c:v>34424.066666666666</c:v>
                </c:pt>
                <c:pt idx="16">
                  <c:v>34313.5</c:v>
                </c:pt>
                <c:pt idx="17">
                  <c:v>33973.882352941175</c:v>
                </c:pt>
                <c:pt idx="18">
                  <c:v>33297</c:v>
                </c:pt>
                <c:pt idx="19">
                  <c:v>33509.57894736842</c:v>
                </c:pt>
                <c:pt idx="20">
                  <c:v>33965.75</c:v>
                </c:pt>
                <c:pt idx="21">
                  <c:v>33857.428571428572</c:v>
                </c:pt>
                <c:pt idx="22">
                  <c:v>34277.454545454544</c:v>
                </c:pt>
                <c:pt idx="23">
                  <c:v>34277.454545454544</c:v>
                </c:pt>
                <c:pt idx="24">
                  <c:v>34277.454545454544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4CD-42BF-BF55-DE3CD2272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0017856"/>
        <c:axId val="1870018336"/>
      </c:lineChart>
      <c:catAx>
        <c:axId val="187001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8336"/>
        <c:crosses val="autoZero"/>
        <c:auto val="1"/>
        <c:lblAlgn val="ctr"/>
        <c:lblOffset val="100"/>
        <c:noMultiLvlLbl val="0"/>
      </c:catAx>
      <c:valAx>
        <c:axId val="187001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II graph - linearni, ne-linearni i Brownov model</a:t>
            </a:r>
          </a:p>
        </c:rich>
      </c:tx>
      <c:layout>
        <c:manualLayout>
          <c:xMode val="edge"/>
          <c:yMode val="edge"/>
          <c:x val="0.45557569186367836"/>
          <c:y val="1.20658605975071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Actual data</c:v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'Task II index - horizontal'!$H$6:$AC$6</c:f>
              <c:numCache>
                <c:formatCode>_-* #,##0_-;\-* #,##0_-;_-* "-"??_-;_-@_-</c:formatCode>
                <c:ptCount val="22"/>
                <c:pt idx="0">
                  <c:v>29802</c:v>
                </c:pt>
                <c:pt idx="1">
                  <c:v>27904</c:v>
                </c:pt>
                <c:pt idx="2">
                  <c:v>27833</c:v>
                </c:pt>
                <c:pt idx="3">
                  <c:v>29818</c:v>
                </c:pt>
                <c:pt idx="4">
                  <c:v>33432</c:v>
                </c:pt>
                <c:pt idx="5">
                  <c:v>28803</c:v>
                </c:pt>
                <c:pt idx="6">
                  <c:v>40292</c:v>
                </c:pt>
                <c:pt idx="7">
                  <c:v>26278</c:v>
                </c:pt>
                <c:pt idx="8">
                  <c:v>42540</c:v>
                </c:pt>
                <c:pt idx="9">
                  <c:v>37172</c:v>
                </c:pt>
                <c:pt idx="10">
                  <c:v>41637</c:v>
                </c:pt>
                <c:pt idx="11">
                  <c:v>31219</c:v>
                </c:pt>
                <c:pt idx="12">
                  <c:v>28676</c:v>
                </c:pt>
                <c:pt idx="13">
                  <c:v>49731</c:v>
                </c:pt>
                <c:pt idx="14">
                  <c:v>41224</c:v>
                </c:pt>
                <c:pt idx="15">
                  <c:v>32655</c:v>
                </c:pt>
                <c:pt idx="16">
                  <c:v>28540</c:v>
                </c:pt>
                <c:pt idx="17">
                  <c:v>21790</c:v>
                </c:pt>
                <c:pt idx="18">
                  <c:v>37336</c:v>
                </c:pt>
                <c:pt idx="19">
                  <c:v>42633</c:v>
                </c:pt>
                <c:pt idx="20">
                  <c:v>31691</c:v>
                </c:pt>
                <c:pt idx="21">
                  <c:v>43098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57-4E7B-85E2-6D706CC6C365}"/>
            </c:ext>
          </c:extLst>
        </c:ser>
        <c:ser>
          <c:idx val="4"/>
          <c:order val="1"/>
          <c:tx>
            <c:strRef>
              <c:f>'Task II index - horizontal'!$F$12</c:f>
              <c:strCache>
                <c:ptCount val="1"/>
                <c:pt idx="0">
                  <c:v>linearni model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horizontal'!$AD$12:$BB$12</c:f>
              <c:numCache>
                <c:formatCode>_-* #,##0_-;\-* #,##0_-;_-* "-"??_-;_-@_-</c:formatCode>
                <c:ptCount val="25"/>
                <c:pt idx="0">
                  <c:v>30736.517786561264</c:v>
                </c:pt>
                <c:pt idx="1">
                  <c:v>31073.749858836814</c:v>
                </c:pt>
                <c:pt idx="2">
                  <c:v>31410.981931112365</c:v>
                </c:pt>
                <c:pt idx="3">
                  <c:v>31748.214003387915</c:v>
                </c:pt>
                <c:pt idx="4">
                  <c:v>32085.446075663465</c:v>
                </c:pt>
                <c:pt idx="5">
                  <c:v>32422.678147939016</c:v>
                </c:pt>
                <c:pt idx="6">
                  <c:v>32759.910220214566</c:v>
                </c:pt>
                <c:pt idx="7">
                  <c:v>33097.14229249012</c:v>
                </c:pt>
                <c:pt idx="8">
                  <c:v>33434.374364765667</c:v>
                </c:pt>
                <c:pt idx="9">
                  <c:v>33771.60643704122</c:v>
                </c:pt>
                <c:pt idx="10">
                  <c:v>34108.838509316767</c:v>
                </c:pt>
                <c:pt idx="11">
                  <c:v>34446.070581592321</c:v>
                </c:pt>
                <c:pt idx="12">
                  <c:v>34783.302653867868</c:v>
                </c:pt>
                <c:pt idx="13">
                  <c:v>35120.534726143422</c:v>
                </c:pt>
                <c:pt idx="14">
                  <c:v>35457.766798418968</c:v>
                </c:pt>
                <c:pt idx="15">
                  <c:v>35794.998870694522</c:v>
                </c:pt>
                <c:pt idx="16">
                  <c:v>36132.230942970069</c:v>
                </c:pt>
                <c:pt idx="17">
                  <c:v>36469.463015245623</c:v>
                </c:pt>
                <c:pt idx="18">
                  <c:v>36806.695087521177</c:v>
                </c:pt>
                <c:pt idx="19">
                  <c:v>37143.927159796724</c:v>
                </c:pt>
                <c:pt idx="20">
                  <c:v>37481.15923207227</c:v>
                </c:pt>
                <c:pt idx="21">
                  <c:v>37818.391304347824</c:v>
                </c:pt>
                <c:pt idx="22">
                  <c:v>38155.623376623378</c:v>
                </c:pt>
                <c:pt idx="23">
                  <c:v>38492.855448898925</c:v>
                </c:pt>
                <c:pt idx="24">
                  <c:v>38830.087521174471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57-4E7B-85E2-6D706CC6C365}"/>
            </c:ext>
          </c:extLst>
        </c:ser>
        <c:ser>
          <c:idx val="6"/>
          <c:order val="2"/>
          <c:tx>
            <c:strRef>
              <c:f>'Task II index - horizontal'!$F$14</c:f>
              <c:strCache>
                <c:ptCount val="1"/>
                <c:pt idx="0">
                  <c:v>nelinearni (logaritamski) model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horizontal'!$AD$14:$BB$14</c:f>
              <c:numCache>
                <c:formatCode>_-* #,##0_-;\-* #,##0_-;_-* "-"??_-;_-@_-</c:formatCode>
                <c:ptCount val="25"/>
                <c:pt idx="0">
                  <c:v>27619.85320137567</c:v>
                </c:pt>
                <c:pt idx="1">
                  <c:v>29714.3626477984</c:v>
                </c:pt>
                <c:pt idx="2">
                  <c:v>30939.572131361925</c:v>
                </c:pt>
                <c:pt idx="3">
                  <c:v>31808.872094221129</c:v>
                </c:pt>
                <c:pt idx="4">
                  <c:v>32483.153530031585</c:v>
                </c:pt>
                <c:pt idx="5">
                  <c:v>33034.081577784658</c:v>
                </c:pt>
                <c:pt idx="6">
                  <c:v>33499.88460508667</c:v>
                </c:pt>
                <c:pt idx="7">
                  <c:v>33903.381540643859</c:v>
                </c:pt>
                <c:pt idx="8">
                  <c:v>34259.29106134818</c:v>
                </c:pt>
                <c:pt idx="9">
                  <c:v>34577.662976454318</c:v>
                </c:pt>
                <c:pt idx="10">
                  <c:v>34865.665405864966</c:v>
                </c:pt>
                <c:pt idx="11">
                  <c:v>35128.591024207388</c:v>
                </c:pt>
                <c:pt idx="12">
                  <c:v>35370.459146940055</c:v>
                </c:pt>
                <c:pt idx="13">
                  <c:v>35594.3940515094</c:v>
                </c:pt>
                <c:pt idx="14">
                  <c:v>35802.872460017839</c:v>
                </c:pt>
                <c:pt idx="15">
                  <c:v>35997.890987066596</c:v>
                </c:pt>
                <c:pt idx="16">
                  <c:v>36181.082734276402</c:v>
                </c:pt>
                <c:pt idx="17">
                  <c:v>36353.800507770909</c:v>
                </c:pt>
                <c:pt idx="18">
                  <c:v>36517.177506002277</c:v>
                </c:pt>
                <c:pt idx="19">
                  <c:v>36672.172422877047</c:v>
                </c:pt>
                <c:pt idx="20">
                  <c:v>36819.603535072929</c:v>
                </c:pt>
                <c:pt idx="21">
                  <c:v>36960.174852287702</c:v>
                </c:pt>
                <c:pt idx="22">
                  <c:v>37094.496449815568</c:v>
                </c:pt>
                <c:pt idx="23">
                  <c:v>37223.100470630117</c:v>
                </c:pt>
                <c:pt idx="24">
                  <c:v>37346.453858687499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57-4E7B-85E2-6D706CC6C365}"/>
            </c:ext>
          </c:extLst>
        </c:ser>
        <c:ser>
          <c:idx val="8"/>
          <c:order val="3"/>
          <c:tx>
            <c:strRef>
              <c:f>'Task II index - horizontal'!$F$16</c:f>
              <c:strCache>
                <c:ptCount val="1"/>
                <c:pt idx="0">
                  <c:v>Brownov model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horizontal'!$AD$16:$BB$16</c:f>
              <c:numCache>
                <c:formatCode>_-* #,##0_-;\-* #,##0_-;_-* "-"??_-;_-@_-</c:formatCode>
                <c:ptCount val="25"/>
                <c:pt idx="1">
                  <c:v>29802</c:v>
                </c:pt>
                <c:pt idx="2">
                  <c:v>29525.530422144748</c:v>
                </c:pt>
                <c:pt idx="3">
                  <c:v>29278.990289732981</c:v>
                </c:pt>
                <c:pt idx="4">
                  <c:v>29357.504403040362</c:v>
                </c:pt>
                <c:pt idx="5">
                  <c:v>29951.010239533789</c:v>
                </c:pt>
                <c:pt idx="6">
                  <c:v>29783.7868958576</c:v>
                </c:pt>
                <c:pt idx="7">
                  <c:v>31314.451406350381</c:v>
                </c:pt>
                <c:pt idx="8">
                  <c:v>30580.823590648492</c:v>
                </c:pt>
                <c:pt idx="9">
                  <c:v>32322.840689378692</c:v>
                </c:pt>
                <c:pt idx="10">
                  <c:v>33029.186857745575</c:v>
                </c:pt>
                <c:pt idx="11">
                  <c:v>34283.03220321238</c:v>
                </c:pt>
                <c:pt idx="12">
                  <c:v>33836.714136954724</c:v>
                </c:pt>
                <c:pt idx="13">
                  <c:v>33084.985760307987</c:v>
                </c:pt>
                <c:pt idx="14">
                  <c:v>35509.70469066636</c:v>
                </c:pt>
                <c:pt idx="15">
                  <c:v>36342.069712748409</c:v>
                </c:pt>
                <c:pt idx="16">
                  <c:v>35804.997738561666</c:v>
                </c:pt>
                <c:pt idx="17">
                  <c:v>34746.751764958128</c:v>
                </c:pt>
                <c:pt idx="18">
                  <c:v>32859.424214466409</c:v>
                </c:pt>
                <c:pt idx="19">
                  <c:v>33511.498512497776</c:v>
                </c:pt>
                <c:pt idx="20">
                  <c:v>34840.169569218437</c:v>
                </c:pt>
                <c:pt idx="21">
                  <c:v>34381.450084815682</c:v>
                </c:pt>
                <c:pt idx="22">
                  <c:v>35651.134423806863</c:v>
                </c:pt>
                <c:pt idx="23">
                  <c:v>35651.134423806863</c:v>
                </c:pt>
                <c:pt idx="24">
                  <c:v>35651.134423806863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57-4E7B-85E2-6D706CC6C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0017856"/>
        <c:axId val="1870018336"/>
      </c:lineChart>
      <c:catAx>
        <c:axId val="187001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8336"/>
        <c:crosses val="autoZero"/>
        <c:auto val="1"/>
        <c:lblAlgn val="ctr"/>
        <c:lblOffset val="100"/>
        <c:noMultiLvlLbl val="0"/>
      </c:catAx>
      <c:valAx>
        <c:axId val="187001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III chart - Holt WIntersov model i funkcija predviđanja</a:t>
            </a:r>
          </a:p>
        </c:rich>
      </c:tx>
      <c:layout>
        <c:manualLayout>
          <c:xMode val="edge"/>
          <c:yMode val="edge"/>
          <c:x val="0.45557569186367836"/>
          <c:y val="1.20658605975071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Actual data</c:v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'Task II index - horizontal'!$H$6:$AC$6</c:f>
              <c:numCache>
                <c:formatCode>_-* #,##0_-;\-* #,##0_-;_-* "-"??_-;_-@_-</c:formatCode>
                <c:ptCount val="22"/>
                <c:pt idx="0">
                  <c:v>29802</c:v>
                </c:pt>
                <c:pt idx="1">
                  <c:v>27904</c:v>
                </c:pt>
                <c:pt idx="2">
                  <c:v>27833</c:v>
                </c:pt>
                <c:pt idx="3">
                  <c:v>29818</c:v>
                </c:pt>
                <c:pt idx="4">
                  <c:v>33432</c:v>
                </c:pt>
                <c:pt idx="5">
                  <c:v>28803</c:v>
                </c:pt>
                <c:pt idx="6">
                  <c:v>40292</c:v>
                </c:pt>
                <c:pt idx="7">
                  <c:v>26278</c:v>
                </c:pt>
                <c:pt idx="8">
                  <c:v>42540</c:v>
                </c:pt>
                <c:pt idx="9">
                  <c:v>37172</c:v>
                </c:pt>
                <c:pt idx="10">
                  <c:v>41637</c:v>
                </c:pt>
                <c:pt idx="11">
                  <c:v>31219</c:v>
                </c:pt>
                <c:pt idx="12">
                  <c:v>28676</c:v>
                </c:pt>
                <c:pt idx="13">
                  <c:v>49731</c:v>
                </c:pt>
                <c:pt idx="14">
                  <c:v>41224</c:v>
                </c:pt>
                <c:pt idx="15">
                  <c:v>32655</c:v>
                </c:pt>
                <c:pt idx="16">
                  <c:v>28540</c:v>
                </c:pt>
                <c:pt idx="17">
                  <c:v>21790</c:v>
                </c:pt>
                <c:pt idx="18">
                  <c:v>37336</c:v>
                </c:pt>
                <c:pt idx="19">
                  <c:v>42633</c:v>
                </c:pt>
                <c:pt idx="20">
                  <c:v>31691</c:v>
                </c:pt>
                <c:pt idx="21">
                  <c:v>43098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4-4CFA-96CC-78FB6F414E3E}"/>
            </c:ext>
          </c:extLst>
        </c:ser>
        <c:ser>
          <c:idx val="0"/>
          <c:order val="1"/>
          <c:tx>
            <c:strRef>
              <c:f>'Task II index - horizontal'!$F$20</c:f>
              <c:strCache>
                <c:ptCount val="1"/>
                <c:pt idx="0">
                  <c:v>Wintersov model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horizontal'!$AD$20:$BB$20</c:f>
              <c:numCache>
                <c:formatCode>General</c:formatCode>
                <c:ptCount val="25"/>
                <c:pt idx="13" formatCode="_-* #,##0_-;\-* #,##0_-;_-* &quot;-&quot;??_-;_-@_-">
                  <c:v>28786.990739293728</c:v>
                </c:pt>
                <c:pt idx="14" formatCode="_-* #,##0_-;\-* #,##0_-;_-* &quot;-&quot;??_-;_-@_-">
                  <c:v>29675.612007894833</c:v>
                </c:pt>
                <c:pt idx="15" formatCode="_-* #,##0_-;\-* #,##0_-;_-* &quot;-&quot;??_-;_-@_-">
                  <c:v>31112.180118248987</c:v>
                </c:pt>
                <c:pt idx="16" formatCode="_-* #,##0_-;\-* #,##0_-;_-* &quot;-&quot;??_-;_-@_-">
                  <c:v>33155.367704253338</c:v>
                </c:pt>
                <c:pt idx="17" formatCode="_-* #,##0_-;\-* #,##0_-;_-* &quot;-&quot;??_-;_-@_-">
                  <c:v>35687.533994872028</c:v>
                </c:pt>
                <c:pt idx="18" formatCode="_-* #,##0_-;\-* #,##0_-;_-* &quot;-&quot;??_-;_-@_-">
                  <c:v>29029.151306715372</c:v>
                </c:pt>
                <c:pt idx="19" formatCode="_-* #,##0_-;\-* #,##0_-;_-* &quot;-&quot;??_-;_-@_-">
                  <c:v>39375.633742231104</c:v>
                </c:pt>
                <c:pt idx="20" formatCode="_-* #,##0_-;\-* #,##0_-;_-* &quot;-&quot;??_-;_-@_-">
                  <c:v>27898.674997539099</c:v>
                </c:pt>
                <c:pt idx="21" formatCode="_-* #,##0_-;\-* #,##0_-;_-* &quot;-&quot;??_-;_-@_-">
                  <c:v>42865.654123246677</c:v>
                </c:pt>
                <c:pt idx="22" formatCode="_-* #,##0_-;\-* #,##0_-;_-* &quot;-&quot;??_-;_-@_-">
                  <c:v>42511.335805026203</c:v>
                </c:pt>
                <c:pt idx="23" formatCode="_-* #,##0_-;\-* #,##0_-;_-* &quot;-&quot;??_-;_-@_-">
                  <c:v>31649.444918223278</c:v>
                </c:pt>
                <c:pt idx="24" formatCode="_-* #,##0_-;\-* #,##0_-;_-* &quot;-&quot;??_-;_-@_-">
                  <c:v>29431.299621660364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854-4CFA-96CC-78FB6F414E3E}"/>
            </c:ext>
          </c:extLst>
        </c:ser>
        <c:ser>
          <c:idx val="4"/>
          <c:order val="2"/>
          <c:tx>
            <c:strRef>
              <c:f>'Task II index - horizontal'!$F$12</c:f>
              <c:strCache>
                <c:ptCount val="1"/>
                <c:pt idx="0">
                  <c:v>linearni model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horizontal'!$AD$12:$BB$12</c:f>
              <c:numCache>
                <c:formatCode>_-* #,##0_-;\-* #,##0_-;_-* "-"??_-;_-@_-</c:formatCode>
                <c:ptCount val="25"/>
                <c:pt idx="0">
                  <c:v>30736.517786561264</c:v>
                </c:pt>
                <c:pt idx="1">
                  <c:v>31073.749858836814</c:v>
                </c:pt>
                <c:pt idx="2">
                  <c:v>31410.981931112365</c:v>
                </c:pt>
                <c:pt idx="3">
                  <c:v>31748.214003387915</c:v>
                </c:pt>
                <c:pt idx="4">
                  <c:v>32085.446075663465</c:v>
                </c:pt>
                <c:pt idx="5">
                  <c:v>32422.678147939016</c:v>
                </c:pt>
                <c:pt idx="6">
                  <c:v>32759.910220214566</c:v>
                </c:pt>
                <c:pt idx="7">
                  <c:v>33097.14229249012</c:v>
                </c:pt>
                <c:pt idx="8">
                  <c:v>33434.374364765667</c:v>
                </c:pt>
                <c:pt idx="9">
                  <c:v>33771.60643704122</c:v>
                </c:pt>
                <c:pt idx="10">
                  <c:v>34108.838509316767</c:v>
                </c:pt>
                <c:pt idx="11">
                  <c:v>34446.070581592321</c:v>
                </c:pt>
                <c:pt idx="12">
                  <c:v>34783.302653867868</c:v>
                </c:pt>
                <c:pt idx="13">
                  <c:v>35120.534726143422</c:v>
                </c:pt>
                <c:pt idx="14">
                  <c:v>35457.766798418968</c:v>
                </c:pt>
                <c:pt idx="15">
                  <c:v>35794.998870694522</c:v>
                </c:pt>
                <c:pt idx="16">
                  <c:v>36132.230942970069</c:v>
                </c:pt>
                <c:pt idx="17">
                  <c:v>36469.463015245623</c:v>
                </c:pt>
                <c:pt idx="18">
                  <c:v>36806.695087521177</c:v>
                </c:pt>
                <c:pt idx="19">
                  <c:v>37143.927159796724</c:v>
                </c:pt>
                <c:pt idx="20">
                  <c:v>37481.15923207227</c:v>
                </c:pt>
                <c:pt idx="21">
                  <c:v>37818.391304347824</c:v>
                </c:pt>
                <c:pt idx="22">
                  <c:v>38155.623376623378</c:v>
                </c:pt>
                <c:pt idx="23">
                  <c:v>38492.855448898925</c:v>
                </c:pt>
                <c:pt idx="24">
                  <c:v>38830.087521174471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4-4CFA-96CC-78FB6F414E3E}"/>
            </c:ext>
          </c:extLst>
        </c:ser>
        <c:ser>
          <c:idx val="6"/>
          <c:order val="3"/>
          <c:tx>
            <c:strRef>
              <c:f>'Task II index - horizontal'!$F$22</c:f>
              <c:strCache>
                <c:ptCount val="1"/>
                <c:pt idx="0">
                  <c:v>Prognostička funkcija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horizontal'!$AD$22:$BB$22</c:f>
              <c:numCache>
                <c:formatCode>_-* #,##0_-;\-* #,##0_-;_-* "-"??_-;_-@_-</c:formatCode>
                <c:ptCount val="25"/>
                <c:pt idx="0">
                  <c:v>43866.801591973286</c:v>
                </c:pt>
                <c:pt idx="1">
                  <c:v>36643.64662186749</c:v>
                </c:pt>
                <c:pt idx="2">
                  <c:v>29512.299218459317</c:v>
                </c:pt>
                <c:pt idx="3">
                  <c:v>26148.994958133087</c:v>
                </c:pt>
                <c:pt idx="4">
                  <c:v>20820.856163856472</c:v>
                </c:pt>
                <c:pt idx="5">
                  <c:v>30328.845495577174</c:v>
                </c:pt>
                <c:pt idx="6">
                  <c:v>38449.108073931377</c:v>
                </c:pt>
                <c:pt idx="7">
                  <c:v>26130.073104091149</c:v>
                </c:pt>
                <c:pt idx="8">
                  <c:v>39775.134420527414</c:v>
                </c:pt>
                <c:pt idx="9">
                  <c:v>35723.424856592334</c:v>
                </c:pt>
                <c:pt idx="10">
                  <c:v>40014.448138176267</c:v>
                </c:pt>
                <c:pt idx="11">
                  <c:v>29704.574747172876</c:v>
                </c:pt>
                <c:pt idx="12">
                  <c:v>27004.718554743798</c:v>
                </c:pt>
                <c:pt idx="13">
                  <c:v>48098.73765005442</c:v>
                </c:pt>
                <c:pt idx="14">
                  <c:v>40875.582679948617</c:v>
                </c:pt>
                <c:pt idx="15">
                  <c:v>33744.235276540443</c:v>
                </c:pt>
                <c:pt idx="16">
                  <c:v>30380.931016214221</c:v>
                </c:pt>
                <c:pt idx="17">
                  <c:v>25052.792221937605</c:v>
                </c:pt>
                <c:pt idx="18">
                  <c:v>34560.781553658308</c:v>
                </c:pt>
                <c:pt idx="19">
                  <c:v>42681.04413201251</c:v>
                </c:pt>
                <c:pt idx="20">
                  <c:v>30362.009162172275</c:v>
                </c:pt>
                <c:pt idx="21">
                  <c:v>44007.070478608541</c:v>
                </c:pt>
                <c:pt idx="22">
                  <c:v>39955.360914673467</c:v>
                </c:pt>
                <c:pt idx="23">
                  <c:v>44246.384196257401</c:v>
                </c:pt>
                <c:pt idx="24">
                  <c:v>33936.510805254002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4-4CFA-96CC-78FB6F414E3E}"/>
            </c:ext>
          </c:extLst>
        </c:ser>
        <c:ser>
          <c:idx val="8"/>
          <c:order val="4"/>
          <c:tx>
            <c:strRef>
              <c:f>'Task II index - horizontal'!$F$18</c:f>
              <c:strCache>
                <c:ptCount val="1"/>
                <c:pt idx="0">
                  <c:v>Holtov model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horizontal'!$AD$18:$BB$18</c:f>
              <c:numCache>
                <c:formatCode>_-* #,##0_-;\-* #,##0_-;_-* "-"??_-;_-@_-</c:formatCode>
                <c:ptCount val="25"/>
                <c:pt idx="1">
                  <c:v>29802</c:v>
                </c:pt>
                <c:pt idx="2">
                  <c:v>29612.356167713511</c:v>
                </c:pt>
                <c:pt idx="3">
                  <c:v>29417.337922022973</c:v>
                </c:pt>
                <c:pt idx="4">
                  <c:v>29423.99007969704</c:v>
                </c:pt>
                <c:pt idx="5">
                  <c:v>29794.717205766203</c:v>
                </c:pt>
                <c:pt idx="6">
                  <c:v>29702.265580003928</c:v>
                </c:pt>
                <c:pt idx="7">
                  <c:v>30758.003911932636</c:v>
                </c:pt>
                <c:pt idx="8">
                  <c:v>30404.136328116831</c:v>
                </c:pt>
                <c:pt idx="9">
                  <c:v>31669.821253757258</c:v>
                </c:pt>
                <c:pt idx="10">
                  <c:v>32382.846423674509</c:v>
                </c:pt>
                <c:pt idx="11">
                  <c:v>33520.706216046819</c:v>
                </c:pt>
                <c:pt idx="12">
                  <c:v>33587.935131590617</c:v>
                </c:pt>
                <c:pt idx="13">
                  <c:v>33373.462260661006</c:v>
                </c:pt>
                <c:pt idx="14">
                  <c:v>35239.598686684018</c:v>
                </c:pt>
                <c:pt idx="15">
                  <c:v>36217.76000155745</c:v>
                </c:pt>
                <c:pt idx="16">
                  <c:v>36296.313939235966</c:v>
                </c:pt>
                <c:pt idx="17">
                  <c:v>35923.516688830365</c:v>
                </c:pt>
                <c:pt idx="18">
                  <c:v>34843.116187667656</c:v>
                </c:pt>
                <c:pt idx="19">
                  <c:v>35295.691166011566</c:v>
                </c:pt>
                <c:pt idx="20">
                  <c:v>36254.93912000909</c:v>
                </c:pt>
                <c:pt idx="21">
                  <c:v>36091.64570245333</c:v>
                </c:pt>
                <c:pt idx="22">
                  <c:v>37043.000609117</c:v>
                </c:pt>
                <c:pt idx="23">
                  <c:v>37357.896528044243</c:v>
                </c:pt>
                <c:pt idx="24">
                  <c:v>37672.792446971485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54-4CFA-96CC-78FB6F414E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0017856"/>
        <c:axId val="1870018336"/>
      </c:lineChart>
      <c:catAx>
        <c:axId val="187001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8336"/>
        <c:crosses val="autoZero"/>
        <c:auto val="1"/>
        <c:lblAlgn val="ctr"/>
        <c:lblOffset val="100"/>
        <c:noMultiLvlLbl val="0"/>
      </c:catAx>
      <c:valAx>
        <c:axId val="187001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image" Target="../media/image1.png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870858</xdr:colOff>
      <xdr:row>55</xdr:row>
      <xdr:rowOff>2426</xdr:rowOff>
    </xdr:from>
    <xdr:to>
      <xdr:col>24</xdr:col>
      <xdr:colOff>68037</xdr:colOff>
      <xdr:row>74</xdr:row>
      <xdr:rowOff>123059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846871</xdr:colOff>
      <xdr:row>34</xdr:row>
      <xdr:rowOff>12915</xdr:rowOff>
    </xdr:from>
    <xdr:to>
      <xdr:col>22</xdr:col>
      <xdr:colOff>843642</xdr:colOff>
      <xdr:row>48</xdr:row>
      <xdr:rowOff>167898</xdr:rowOff>
    </xdr:to>
    <xdr:sp macro="" textlink="">
      <xdr:nvSpPr>
        <xdr:cNvPr id="8" name="Prostokąt: zaokrąglony róg i ścięty róg u góry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5814728" y="6789272"/>
          <a:ext cx="5371593" cy="2631483"/>
        </a:xfrm>
        <a:prstGeom prst="snip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hr-H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Kada koristite funkciju predviđanja ETS, morate unijeti sezonalnost. Tu konstantu možemo tretirati kao parametar i pokušati pronaći parametar koji će pogrešku prognoze učiniti što manjom. </a:t>
          </a:r>
          <a:endParaRPr lang="hr-HR" sz="1600">
            <a:effectLst/>
          </a:endParaRPr>
        </a:p>
        <a:p>
          <a:r>
            <a:rPr lang="hr-H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Funkcija FORECAST.ETS.STAT može se koristiti za izračun RMSE pogreške, gdje je tip statistike = 7 RMSE pogreška.</a:t>
          </a:r>
          <a:endParaRPr lang="hr-HR" sz="1600">
            <a:effectLst/>
          </a:endParaRPr>
        </a:p>
      </xdr:txBody>
    </xdr:sp>
    <xdr:clientData/>
  </xdr:twoCellAnchor>
  <xdr:twoCellAnchor>
    <xdr:from>
      <xdr:col>17</xdr:col>
      <xdr:colOff>93617</xdr:colOff>
      <xdr:row>102</xdr:row>
      <xdr:rowOff>15296</xdr:rowOff>
    </xdr:from>
    <xdr:to>
      <xdr:col>24</xdr:col>
      <xdr:colOff>284663</xdr:colOff>
      <xdr:row>121</xdr:row>
      <xdr:rowOff>135817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790030</xdr:colOff>
      <xdr:row>77</xdr:row>
      <xdr:rowOff>132262</xdr:rowOff>
    </xdr:from>
    <xdr:to>
      <xdr:col>22</xdr:col>
      <xdr:colOff>840922</xdr:colOff>
      <xdr:row>96</xdr:row>
      <xdr:rowOff>78921</xdr:rowOff>
    </xdr:to>
    <xdr:graphicFrame macro="">
      <xdr:nvGraphicFramePr>
        <xdr:cNvPr id="10" name="Wykres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54430</xdr:colOff>
      <xdr:row>17</xdr:row>
      <xdr:rowOff>176892</xdr:rowOff>
    </xdr:from>
    <xdr:to>
      <xdr:col>22</xdr:col>
      <xdr:colOff>857250</xdr:colOff>
      <xdr:row>31</xdr:row>
      <xdr:rowOff>95249</xdr:rowOff>
    </xdr:to>
    <xdr:sp macro="" textlink="">
      <xdr:nvSpPr>
        <xdr:cNvPr id="11" name="Prostokąt: zaokrąglony róg i ścięty róg u góry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5906751" y="3918856"/>
          <a:ext cx="5293178" cy="2422072"/>
        </a:xfrm>
        <a:prstGeom prst="snipRoundRect">
          <a:avLst/>
        </a:prstGeom>
        <a:solidFill>
          <a:schemeClr val="accent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hr-HR" sz="1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Linije 18 do 24 daju prostor za parametre za modele označene zelenom bojom. </a:t>
          </a:r>
          <a:endParaRPr lang="hr-HR" sz="3200">
            <a:effectLst/>
          </a:endParaRPr>
        </a:p>
        <a:p>
          <a:r>
            <a:rPr lang="hr-HR" sz="1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Linearna regresija na analitičke modele može se izvesti pomoću Excel funkcija i dodavanjem trenda na grafikon i čitanjem njegovih funkcija (u svojstvima)</a:t>
          </a:r>
          <a:endParaRPr lang="hr-HR" sz="3200">
            <a:effectLst/>
          </a:endParaRPr>
        </a:p>
        <a:p>
          <a:pPr algn="l"/>
          <a:endParaRPr lang="pl-PL" sz="3200" b="1"/>
        </a:p>
      </xdr:txBody>
    </xdr:sp>
    <xdr:clientData/>
  </xdr:twoCellAnchor>
  <xdr:twoCellAnchor>
    <xdr:from>
      <xdr:col>28</xdr:col>
      <xdr:colOff>326572</xdr:colOff>
      <xdr:row>13</xdr:row>
      <xdr:rowOff>95250</xdr:rowOff>
    </xdr:from>
    <xdr:to>
      <xdr:col>37</xdr:col>
      <xdr:colOff>187272</xdr:colOff>
      <xdr:row>19</xdr:row>
      <xdr:rowOff>0</xdr:rowOff>
    </xdr:to>
    <xdr:sp macro="" textlink="">
      <xdr:nvSpPr>
        <xdr:cNvPr id="12" name="Prostokąt: zaokrąglony róg i ścięty róg u góry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6642786" y="3129643"/>
          <a:ext cx="5371593" cy="966107"/>
        </a:xfrm>
        <a:prstGeom prst="snip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hr-HR" sz="1600"/>
            <a:t>U retku 16 izračunajte RMSE pogrešku U retku 17 RMSE relativno</a:t>
          </a:r>
          <a:endParaRPr lang="pl-PL" sz="1600"/>
        </a:p>
      </xdr:txBody>
    </xdr:sp>
    <xdr:clientData/>
  </xdr:twoCellAnchor>
  <xdr:twoCellAnchor>
    <xdr:from>
      <xdr:col>1</xdr:col>
      <xdr:colOff>760008</xdr:colOff>
      <xdr:row>107</xdr:row>
      <xdr:rowOff>79686</xdr:rowOff>
    </xdr:from>
    <xdr:to>
      <xdr:col>13</xdr:col>
      <xdr:colOff>240254</xdr:colOff>
      <xdr:row>136</xdr:row>
      <xdr:rowOff>129597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4" name="pole tekstowe 4">
              <a:extLst>
                <a:ext uri="{FF2B5EF4-FFF2-40B4-BE49-F238E27FC236}">
                  <a16:creationId xmlns:a16="http://schemas.microsoft.com/office/drawing/2014/main" id="{E273FD68-9260-4F0D-A2AD-0992CF33410F}"/>
                </a:ext>
              </a:extLst>
            </xdr:cNvPr>
            <xdr:cNvSpPr txBox="1"/>
          </xdr:nvSpPr>
          <xdr:spPr>
            <a:xfrm>
              <a:off x="1369608" y="20891811"/>
              <a:ext cx="10710221" cy="5574411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Holtov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𝛼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d>
                      <m:d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d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1−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𝛼</m:t>
                        </m:r>
                      </m:e>
                    </m:d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(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</m:t>
                    </m:r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−2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(1−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)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gdje je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𝛼</m:t>
                  </m:r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 </m:t>
                  </m:r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faktor zaglađivanja za varijablu razine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𝛽</m:t>
                  </m:r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 </m:t>
                  </m:r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–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faktor zaglađivanja rasta</a:t>
              </a:r>
              <a:r>
                <a:rPr lang="pl-PL" sz="1600" kern="0">
                  <a:solidFill>
                    <a:srgbClr val="202122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.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 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Prema modelu potrebne</a:t>
              </a:r>
              <a:r>
                <a:rPr lang="pl-PL" sz="1800" kern="100" baseline="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su dvije početne vrijednosti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ctr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𝐿</m:t>
                      </m:r>
                    </m:e>
                    <m:sub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</m:sub>
                  </m:sSub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=</m:t>
                  </m:r>
                  <m:sSub>
                    <m:sSubPr>
                      <m:ctrlP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𝑦</m:t>
                      </m:r>
                    </m:e>
                    <m:sub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−1</m:t>
                      </m:r>
                    </m:sub>
                  </m:sSub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prema naivnoj metodei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−2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>
        <xdr:sp macro="" textlink="">
          <xdr:nvSpPr>
            <xdr:cNvPr id="24" name="pole tekstowe 4">
              <a:extLst>
                <a:ext uri="{FF2B5EF4-FFF2-40B4-BE49-F238E27FC236}">
                  <a16:creationId xmlns:a16="http://schemas.microsoft.com/office/drawing/2014/main" id="{E273FD68-9260-4F0D-A2AD-0992CF33410F}"/>
                </a:ext>
              </a:extLst>
            </xdr:cNvPr>
            <xdr:cNvSpPr txBox="1"/>
          </xdr:nvSpPr>
          <xdr:spPr>
            <a:xfrm>
              <a:off x="1369608" y="20891811"/>
              <a:ext cx="10710221" cy="5574411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Holtov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𝑝_𝑡=𝐿_(𝑡−1)+𝑇_(𝑡−1)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𝐿_𝑡=𝛼𝑦_(𝑡−1)+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1−𝛼)(𝐿_(𝑡−1)+𝑇_(𝑡−1))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𝛽(𝐿〗_(𝑡−1)−𝐿_(𝑡−2))+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(1−𝛽)𝑇〗_(𝑡−1)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gdje je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𝛼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faktor zaglađivanja za varijablu razine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𝛽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–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faktor zaglađivanja rasta</a:t>
              </a:r>
              <a:r>
                <a:rPr lang="pl-PL" sz="1600" kern="0">
                  <a:solidFill>
                    <a:srgbClr val="202122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.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 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Prema modelu potrebne</a:t>
              </a:r>
              <a:r>
                <a:rPr lang="pl-PL" sz="1800" kern="100" baseline="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su dvije početne vrijednosti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ctr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𝐿_𝑡=𝑦_(𝑡−1)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prema naivnoj metodei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𝑇_𝑡=𝑦_(𝑡−1)−𝑦_(𝑡−2)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3</xdr:col>
      <xdr:colOff>466725</xdr:colOff>
      <xdr:row>50</xdr:row>
      <xdr:rowOff>152400</xdr:rowOff>
    </xdr:from>
    <xdr:to>
      <xdr:col>13</xdr:col>
      <xdr:colOff>173778</xdr:colOff>
      <xdr:row>60</xdr:row>
      <xdr:rowOff>30580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5" name="pole tekstowe 2">
              <a:extLst>
                <a:ext uri="{FF2B5EF4-FFF2-40B4-BE49-F238E27FC236}">
                  <a16:creationId xmlns:a16="http://schemas.microsoft.com/office/drawing/2014/main" id="{8BD34953-EB43-4964-8874-9C3369626FB0}"/>
                </a:ext>
              </a:extLst>
            </xdr:cNvPr>
            <xdr:cNvSpPr txBox="1"/>
          </xdr:nvSpPr>
          <xdr:spPr>
            <a:xfrm>
              <a:off x="2790825" y="10106025"/>
              <a:ext cx="9222528" cy="1783180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 eaLnBrk="1" latinLnBrk="0" hangingPunct="1"/>
              <a:r>
                <a:rPr lang="hr-HR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Brownov model:</a:t>
              </a:r>
            </a:p>
            <a:p>
              <a:pPr rtl="0" eaLnBrk="1" latinLnBrk="0" hangingPunct="1"/>
              <a:endParaRPr lang="hr-HR">
                <a:effectLst/>
              </a:endParaRPr>
            </a:p>
            <a:p>
              <a:pPr rtl="0" eaLnBrk="1" latinLnBrk="0" hangingPunct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𝒑</m:t>
                        </m:r>
                      </m:e>
                      <m:sub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𝒕</m:t>
                        </m:r>
                      </m:sub>
                    </m:sSub>
                    <m:r>
                      <a:rPr lang="pl-PL" sz="1800" b="1" i="1" kern="12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</m:t>
                    </m:r>
                    <m:r>
                      <a:rPr lang="pl-PL" sz="1800" b="1" i="1" kern="12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𝒂</m:t>
                    </m:r>
                    <m:r>
                      <a:rPr lang="pl-PL" sz="1800" b="1" i="1" kern="12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•</m:t>
                    </m:r>
                    <m:sSub>
                      <m:sSubPr>
                        <m:ctrlP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𝒚</m:t>
                        </m:r>
                      </m:e>
                      <m:sub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𝒕</m:t>
                        </m:r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𝟏</m:t>
                        </m:r>
                      </m:sub>
                    </m:sSub>
                    <m:r>
                      <a:rPr lang="pl-PL" sz="1800" b="1" i="1" kern="12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+(</m:t>
                    </m:r>
                    <m:r>
                      <a:rPr lang="pl-PL" sz="1800" b="1" i="1" kern="12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𝟏</m:t>
                    </m:r>
                    <m:r>
                      <a:rPr lang="pl-PL" sz="1800" b="1" i="1" kern="12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−</m:t>
                    </m:r>
                    <m:r>
                      <a:rPr lang="pl-PL" sz="1800" b="1" i="1" kern="12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𝒂</m:t>
                    </m:r>
                    <m:r>
                      <a:rPr lang="pl-PL" sz="1800" b="1" i="1" kern="12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)•</m:t>
                    </m:r>
                    <m:sSub>
                      <m:sSubPr>
                        <m:ctrlP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𝒑</m:t>
                        </m:r>
                      </m:e>
                      <m:sub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𝒕</m:t>
                        </m:r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pl-PL" sz="1800" b="1" i="1" kern="12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𝟏</m:t>
                        </m:r>
                      </m:sub>
                    </m:sSub>
                  </m:oMath>
                </m:oMathPara>
              </a14:m>
              <a:endParaRPr lang="hr-HR">
                <a:effectLst/>
              </a:endParaRPr>
            </a:p>
            <a:p>
              <a:pPr rtl="0" eaLnBrk="1" latinLnBrk="0" hangingPunct="1"/>
              <a:endParaRPr lang="hr-HR" sz="1800" kern="12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 eaLnBrk="1" latinLnBrk="0" hangingPunct="1"/>
              <a:r>
                <a:rPr lang="hr-HR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gdje :</a:t>
              </a:r>
              <a:endParaRPr lang="hr-HR">
                <a:effectLst/>
              </a:endParaRPr>
            </a:p>
            <a:p>
              <a:pPr rtl="0" eaLnBrk="1" latinLnBrk="0" hangingPunct="1"/>
              <a:r>
                <a:rPr lang="hr-HR" sz="1800" i="1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α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– faktor eksponencijalnog izglađivanja je u rasponu &lt;0;1&gt;.</a:t>
              </a:r>
              <a:endParaRPr lang="hr-HR">
                <a:effectLst/>
              </a:endParaRPr>
            </a:p>
          </xdr:txBody>
        </xdr:sp>
      </mc:Choice>
      <mc:Fallback>
        <xdr:sp macro="" textlink="">
          <xdr:nvSpPr>
            <xdr:cNvPr id="25" name="pole tekstowe 2">
              <a:extLst>
                <a:ext uri="{FF2B5EF4-FFF2-40B4-BE49-F238E27FC236}">
                  <a16:creationId xmlns:a16="http://schemas.microsoft.com/office/drawing/2014/main" id="{8BD34953-EB43-4964-8874-9C3369626FB0}"/>
                </a:ext>
              </a:extLst>
            </xdr:cNvPr>
            <xdr:cNvSpPr txBox="1"/>
          </xdr:nvSpPr>
          <xdr:spPr>
            <a:xfrm>
              <a:off x="2790825" y="10106025"/>
              <a:ext cx="9222528" cy="1783180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 eaLnBrk="1" latinLnBrk="0" hangingPunct="1"/>
              <a:r>
                <a:rPr lang="hr-HR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Brownov model:</a:t>
              </a:r>
            </a:p>
            <a:p>
              <a:pPr rtl="0" eaLnBrk="1" latinLnBrk="0" hangingPunct="1"/>
              <a:endParaRPr lang="hr-HR">
                <a:effectLst/>
              </a:endParaRPr>
            </a:p>
            <a:p>
              <a:pPr rtl="0" eaLnBrk="1" latinLnBrk="0" hangingPunct="1"/>
              <a:r>
                <a:rPr lang="pl-PL" sz="1800" b="1" i="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𝒑_𝒕=𝒂•𝒚_(𝒕−𝟏)+(𝟏−𝒂)•𝒑_(𝒕−𝟏)</a:t>
              </a:r>
              <a:endParaRPr lang="hr-HR">
                <a:effectLst/>
              </a:endParaRPr>
            </a:p>
            <a:p>
              <a:pPr rtl="0" eaLnBrk="1" latinLnBrk="0" hangingPunct="1"/>
              <a:endParaRPr lang="hr-HR" sz="1800" kern="12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 eaLnBrk="1" latinLnBrk="0" hangingPunct="1"/>
              <a:r>
                <a:rPr lang="hr-HR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gdje :</a:t>
              </a:r>
              <a:endParaRPr lang="hr-HR">
                <a:effectLst/>
              </a:endParaRPr>
            </a:p>
            <a:p>
              <a:pPr rtl="0" eaLnBrk="1" latinLnBrk="0" hangingPunct="1"/>
              <a:r>
                <a:rPr lang="hr-HR" sz="1800" i="1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α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– faktor eksponencijalnog izglađivanja je u rasponu &lt;0;1&gt;.</a:t>
              </a:r>
              <a:endParaRPr lang="hr-HR">
                <a:effectLst/>
              </a:endParaRPr>
            </a:p>
          </xdr:txBody>
        </xdr:sp>
      </mc:Fallback>
    </mc:AlternateContent>
    <xdr:clientData/>
  </xdr:twoCellAnchor>
  <xdr:twoCellAnchor>
    <xdr:from>
      <xdr:col>1</xdr:col>
      <xdr:colOff>629496</xdr:colOff>
      <xdr:row>63</xdr:row>
      <xdr:rowOff>1705</xdr:rowOff>
    </xdr:from>
    <xdr:to>
      <xdr:col>7</xdr:col>
      <xdr:colOff>425239</xdr:colOff>
      <xdr:row>73</xdr:row>
      <xdr:rowOff>54805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6" name="pole tekstowe 4">
              <a:extLst>
                <a:ext uri="{FF2B5EF4-FFF2-40B4-BE49-F238E27FC236}">
                  <a16:creationId xmlns:a16="http://schemas.microsoft.com/office/drawing/2014/main" id="{9BC46CAF-2CAC-465C-8F5F-031BBCD8CCE7}"/>
                </a:ext>
              </a:extLst>
            </xdr:cNvPr>
            <xdr:cNvSpPr txBox="1"/>
          </xdr:nvSpPr>
          <xdr:spPr>
            <a:xfrm>
              <a:off x="1239096" y="12431830"/>
              <a:ext cx="5539318" cy="1958100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Jednostavni prosjek: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𝑝</m:t>
                      </m:r>
                    </m:e>
                    <m:sub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</m:sub>
                  </m:sSub>
                  <m:r>
                    <a:rPr lang="pl-PL" sz="16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=</m:t>
                  </m:r>
                  <m:f>
                    <m:fPr>
                      <m:ctrlP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fPr>
                    <m:num>
                      <m:nary>
                        <m:naryPr>
                          <m:chr m:val="∑"/>
                          <m:limLoc m:val="undOvr"/>
                          <m:ctrlP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</m:ctrlPr>
                        </m:naryPr>
                        <m:sub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𝑡</m:t>
                          </m:r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=1</m:t>
                          </m:r>
                        </m:sub>
                        <m:sup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𝑛</m:t>
                          </m:r>
                        </m:sup>
                        <m:e>
                          <m:sSub>
                            <m:sSubPr>
                              <m:ctrlPr>
                                <a:rPr lang="pl-PL" sz="1600" i="1" kern="100">
                                  <a:effectLst/>
                                  <a:latin typeface="Cambria Math" panose="02040503050406030204" pitchFamily="18" charset="0"/>
                                  <a:ea typeface="Calibri" panose="020F0502020204030204" pitchFamily="34" charset="0"/>
                                  <a:cs typeface="Times New Roman" panose="02020603050405020304" pitchFamily="18" charset="0"/>
                                </a:rPr>
                              </m:ctrlPr>
                            </m:sSubPr>
                            <m:e>
                              <m:r>
                                <a:rPr lang="pl-PL" sz="1600" i="1" kern="100">
                                  <a:effectLst/>
                                  <a:latin typeface="Cambria Math" panose="02040503050406030204" pitchFamily="18" charset="0"/>
                                  <a:ea typeface="Calibri" panose="020F0502020204030204" pitchFamily="34" charset="0"/>
                                  <a:cs typeface="Times New Roman" panose="02020603050405020304" pitchFamily="18" charset="0"/>
                                </a:rPr>
                                <m:t>𝑦</m:t>
                              </m:r>
                            </m:e>
                            <m:sub>
                              <m:r>
                                <a:rPr lang="pl-PL" sz="1600" i="1" kern="100">
                                  <a:effectLst/>
                                  <a:latin typeface="Cambria Math" panose="02040503050406030204" pitchFamily="18" charset="0"/>
                                  <a:ea typeface="Calibri" panose="020F0502020204030204" pitchFamily="34" charset="0"/>
                                  <a:cs typeface="Times New Roman" panose="02020603050405020304" pitchFamily="18" charset="0"/>
                                </a:rPr>
                                <m:t>𝑡</m:t>
                              </m:r>
                            </m:sub>
                          </m:sSub>
                        </m:e>
                      </m:nary>
                    </m:num>
                    <m:den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𝑛</m:t>
                      </m:r>
                    </m:den>
                  </m:f>
                </m:oMath>
              </a14:m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gdje</a:t>
              </a:r>
              <a:r>
                <a:rPr lang="pl-PL" sz="1600" kern="100" baseline="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je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n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– broj analiziranih razdoblja. </a:t>
              </a:r>
            </a:p>
          </xdr:txBody>
        </xdr:sp>
      </mc:Choice>
      <mc:Fallback>
        <xdr:sp macro="" textlink="">
          <xdr:nvSpPr>
            <xdr:cNvPr id="26" name="pole tekstowe 4">
              <a:extLst>
                <a:ext uri="{FF2B5EF4-FFF2-40B4-BE49-F238E27FC236}">
                  <a16:creationId xmlns:a16="http://schemas.microsoft.com/office/drawing/2014/main" id="{9BC46CAF-2CAC-465C-8F5F-031BBCD8CCE7}"/>
                </a:ext>
              </a:extLst>
            </xdr:cNvPr>
            <xdr:cNvSpPr txBox="1"/>
          </xdr:nvSpPr>
          <xdr:spPr>
            <a:xfrm>
              <a:off x="1239096" y="12431830"/>
              <a:ext cx="5539318" cy="1958100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Jednostavni prosjek: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(∑1_(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𝑡=1)^𝑛▒𝑦_𝑡 )/𝑛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gdje</a:t>
              </a:r>
              <a:r>
                <a:rPr lang="pl-PL" sz="1600" kern="100" baseline="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je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n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– broj analiziranih razdoblja. </a:t>
              </a:r>
            </a:p>
          </xdr:txBody>
        </xdr:sp>
      </mc:Fallback>
    </mc:AlternateContent>
    <xdr:clientData/>
  </xdr:twoCellAnchor>
  <xdr:twoCellAnchor>
    <xdr:from>
      <xdr:col>2</xdr:col>
      <xdr:colOff>63924</xdr:colOff>
      <xdr:row>76</xdr:row>
      <xdr:rowOff>11809</xdr:rowOff>
    </xdr:from>
    <xdr:to>
      <xdr:col>7</xdr:col>
      <xdr:colOff>546525</xdr:colOff>
      <xdr:row>86</xdr:row>
      <xdr:rowOff>144418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7" name="pole tekstowe 7">
              <a:extLst>
                <a:ext uri="{FF2B5EF4-FFF2-40B4-BE49-F238E27FC236}">
                  <a16:creationId xmlns:a16="http://schemas.microsoft.com/office/drawing/2014/main" id="{87B0BA45-CD39-4DCA-B4BD-7DC189B93FCC}"/>
                </a:ext>
              </a:extLst>
            </xdr:cNvPr>
            <xdr:cNvSpPr txBox="1"/>
          </xdr:nvSpPr>
          <xdr:spPr>
            <a:xfrm>
              <a:off x="1530774" y="14918434"/>
              <a:ext cx="5368926" cy="2037609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Jednostavni pomični prosjek: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𝑝</m:t>
                      </m:r>
                    </m:e>
                    <m:sub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</m:sub>
                  </m:sSub>
                  <m:r>
                    <a:rPr lang="pl-PL" sz="16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=</m:t>
                  </m:r>
                  <m:f>
                    <m:fPr>
                      <m:ctrlP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fPr>
                    <m:num>
                      <m:nary>
                        <m:naryPr>
                          <m:chr m:val="∑"/>
                          <m:ctrlP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</m:ctrlPr>
                        </m:naryPr>
                        <m:sub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𝑡</m:t>
                          </m:r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+1−</m:t>
                          </m:r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𝑚</m:t>
                          </m:r>
                        </m:sub>
                        <m:sup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𝑡</m:t>
                          </m:r>
                        </m:sup>
                        <m:e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𝑦</m:t>
                          </m:r>
                        </m:e>
                      </m:nary>
                    </m:num>
                    <m:den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𝑚</m:t>
                      </m:r>
                    </m:den>
                  </m:f>
                </m:oMath>
              </a14:m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gdje je: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m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broj analiziranih razdoblja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.</a:t>
              </a:r>
            </a:p>
          </xdr:txBody>
        </xdr:sp>
      </mc:Choice>
      <mc:Fallback>
        <xdr:sp macro="" textlink="">
          <xdr:nvSpPr>
            <xdr:cNvPr id="27" name="pole tekstowe 7">
              <a:extLst>
                <a:ext uri="{FF2B5EF4-FFF2-40B4-BE49-F238E27FC236}">
                  <a16:creationId xmlns:a16="http://schemas.microsoft.com/office/drawing/2014/main" id="{87B0BA45-CD39-4DCA-B4BD-7DC189B93FCC}"/>
                </a:ext>
              </a:extLst>
            </xdr:cNvPr>
            <xdr:cNvSpPr txBox="1"/>
          </xdr:nvSpPr>
          <xdr:spPr>
            <a:xfrm>
              <a:off x="1530774" y="14918434"/>
              <a:ext cx="5368926" cy="2037609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Jednostavni pomični prosjek: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(∑_(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𝑡+1−𝑚)^𝑡▒𝑦)/𝑚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gdje je: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m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broj analiziranih razdoblja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.</a:t>
              </a:r>
            </a:p>
          </xdr:txBody>
        </xdr:sp>
      </mc:Fallback>
    </mc:AlternateContent>
    <xdr:clientData/>
  </xdr:twoCellAnchor>
  <xdr:twoCellAnchor>
    <xdr:from>
      <xdr:col>2</xdr:col>
      <xdr:colOff>153248</xdr:colOff>
      <xdr:row>91</xdr:row>
      <xdr:rowOff>0</xdr:rowOff>
    </xdr:from>
    <xdr:to>
      <xdr:col>7</xdr:col>
      <xdr:colOff>548641</xdr:colOff>
      <xdr:row>106</xdr:row>
      <xdr:rowOff>80868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8" name="pole tekstowe 19">
              <a:extLst>
                <a:ext uri="{FF2B5EF4-FFF2-40B4-BE49-F238E27FC236}">
                  <a16:creationId xmlns:a16="http://schemas.microsoft.com/office/drawing/2014/main" id="{78808D45-DD56-4DD9-B9C6-1C09574BCE31}"/>
                </a:ext>
              </a:extLst>
            </xdr:cNvPr>
            <xdr:cNvSpPr txBox="1"/>
          </xdr:nvSpPr>
          <xdr:spPr>
            <a:xfrm>
              <a:off x="1620098" y="17764125"/>
              <a:ext cx="5281718" cy="2938368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Vagani</a:t>
              </a:r>
              <a:r>
                <a:rPr lang="pl-PL" sz="1600" kern="100" baseline="0"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pomični prosjek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pl-PL" sz="1600" i="1">
                            <a:effectLst/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+1−</m:t>
                        </m:r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𝑚</m:t>
                        </m:r>
                      </m:sub>
                      <m:sup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p>
                      <m:e>
                        <m:d>
                          <m:dPr>
                            <m:ctrlPr>
                              <a:rPr lang="pl-PL" sz="1600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pl-PL" sz="1600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800" i="1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lang="pl-PL" sz="1800" i="1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pl-PL" sz="1800" i="1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•</m:t>
                            </m:r>
                            <m:sSub>
                              <m:sSubPr>
                                <m:ctrlPr>
                                  <a:rPr lang="pl-PL" sz="1600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800" i="1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𝜛</m:t>
                                </m:r>
                              </m:e>
                              <m:sub>
                                <m:r>
                                  <a:rPr lang="pl-PL" sz="1800" i="1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𝑖</m:t>
                                </m:r>
                              </m:sub>
                            </m:sSub>
                          </m:e>
                        </m:d>
                      </m:e>
                    </m:nary>
                  </m:oMath>
                </m:oMathPara>
              </a14:m>
              <a:endParaRPr lang="pl-PL" sz="1600" kern="100"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0" marR="0" lvl="0" indent="449580" algn="just" defTabSz="914400" rtl="0" eaLnBrk="1" fontAlgn="auto" latinLnBrk="0" hangingPunct="1">
                <a:lnSpc>
                  <a:spcPct val="150000"/>
                </a:lnSpc>
                <a:spcBef>
                  <a:spcPts val="0"/>
                </a:spcBef>
                <a:spcAft>
                  <a:spcPts val="600"/>
                </a:spcAft>
                <a:buClrTx/>
                <a:buSzTx/>
                <a:buFontTx/>
                <a:buNone/>
                <a:tabLst/>
                <a:defRPr/>
              </a:pP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gdje je:</a:t>
              </a:r>
              <a:endParaRPr lang="pl-PL" sz="1600">
                <a:effectLst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400" i="1">
                          <a:effectLst/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pl-PL" sz="1600" i="1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𝜛</m:t>
                      </m:r>
                    </m:e>
                    <m:sub>
                      <m:r>
                        <a:rPr lang="pl-PL" sz="1600" i="1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𝑖</m:t>
                      </m:r>
                    </m:sub>
                  </m:sSub>
                </m:oMath>
              </a14:m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 – vagani faktor.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>
        <xdr:sp macro="" textlink="">
          <xdr:nvSpPr>
            <xdr:cNvPr id="28" name="pole tekstowe 19">
              <a:extLst>
                <a:ext uri="{FF2B5EF4-FFF2-40B4-BE49-F238E27FC236}">
                  <a16:creationId xmlns:a16="http://schemas.microsoft.com/office/drawing/2014/main" id="{78808D45-DD56-4DD9-B9C6-1C09574BCE31}"/>
                </a:ext>
              </a:extLst>
            </xdr:cNvPr>
            <xdr:cNvSpPr txBox="1"/>
          </xdr:nvSpPr>
          <xdr:spPr>
            <a:xfrm>
              <a:off x="1620098" y="17764125"/>
              <a:ext cx="5281718" cy="2938368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Vagani</a:t>
              </a:r>
              <a:r>
                <a:rPr lang="pl-PL" sz="1600" kern="100" baseline="0"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pomični prosjek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_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𝑡=</a:t>
              </a:r>
              <a:r>
                <a:rPr lang="pl-PL" sz="1600" i="0">
                  <a:effectLst/>
                  <a:latin typeface="Cambria Math" panose="02040503050406030204" pitchFamily="18" charset="0"/>
                </a:rPr>
                <a:t>∑</a:t>
              </a:r>
              <a:r>
                <a:rPr lang="pl-PL" sz="1800" i="0">
                  <a:effectLst/>
                  <a:latin typeface="Cambria Math" panose="02040503050406030204" pitchFamily="18" charset="0"/>
                </a:rPr>
                <a:t>_</a:t>
              </a:r>
              <a:r>
                <a:rPr lang="pl-PL" sz="1600" i="0">
                  <a:effectLst/>
                  <a:latin typeface="Cambria Math" panose="02040503050406030204" pitchFamily="18" charset="0"/>
                </a:rPr>
                <a:t>(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𝑡+1−𝑚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)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^𝑡▒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𝑦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_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𝑖•𝜛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_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𝑖 ) </a:t>
              </a:r>
              <a:endParaRPr lang="pl-PL" sz="1600" kern="100"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0" marR="0" lvl="0" indent="449580" algn="just" defTabSz="914400" rtl="0" eaLnBrk="1" fontAlgn="auto" latinLnBrk="0" hangingPunct="1">
                <a:lnSpc>
                  <a:spcPct val="150000"/>
                </a:lnSpc>
                <a:spcBef>
                  <a:spcPts val="0"/>
                </a:spcBef>
                <a:spcAft>
                  <a:spcPts val="600"/>
                </a:spcAft>
                <a:buClrTx/>
                <a:buSzTx/>
                <a:buFontTx/>
                <a:buNone/>
                <a:tabLst/>
                <a:defRPr/>
              </a:pP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gdje je:</a:t>
              </a:r>
              <a:endParaRPr lang="pl-PL" sz="1600">
                <a:effectLst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𝜛</a:t>
              </a:r>
              <a:r>
                <a:rPr lang="pl-PL" sz="14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_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𝑖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 – vagani faktor.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1</xdr:col>
      <xdr:colOff>820420</xdr:colOff>
      <xdr:row>29</xdr:row>
      <xdr:rowOff>152400</xdr:rowOff>
    </xdr:from>
    <xdr:to>
      <xdr:col>13</xdr:col>
      <xdr:colOff>264160</xdr:colOff>
      <xdr:row>42</xdr:row>
      <xdr:rowOff>171263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9" name="pole tekstowe 2">
              <a:extLst>
                <a:ext uri="{FF2B5EF4-FFF2-40B4-BE49-F238E27FC236}">
                  <a16:creationId xmlns:a16="http://schemas.microsoft.com/office/drawing/2014/main" id="{F39D1A44-1840-4C97-BB33-F18041729E06}"/>
                </a:ext>
              </a:extLst>
            </xdr:cNvPr>
            <xdr:cNvSpPr txBox="1"/>
          </xdr:nvSpPr>
          <xdr:spPr>
            <a:xfrm>
              <a:off x="1430020" y="6105525"/>
              <a:ext cx="10673715" cy="2495363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hr-HR"/>
                <a:t>Naivna prognoza:</a:t>
              </a:r>
              <a:endParaRPr lang="hr-HR" sz="1800" i="1" kern="100">
                <a:effectLst/>
                <a:latin typeface="Cambria Math" panose="02040503050406030204" pitchFamily="18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where: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</a:t>
              </a:r>
              <a:r>
                <a:rPr lang="pl-PL" sz="1800" i="1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t</a:t>
              </a:r>
              <a:r>
                <a:rPr lang="pl-PL" sz="1800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</a:t>
              </a:r>
              <a:r>
                <a:rPr lang="hr-HR"/>
                <a:t>prognoza za razdoblje t 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y</a:t>
              </a:r>
              <a:r>
                <a:rPr lang="pl-PL" sz="1800" i="1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t-1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stvarna vrijednost potražnje iz razdoblja koje prethodi t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.</a:t>
              </a:r>
            </a:p>
          </xdr:txBody>
        </xdr:sp>
      </mc:Choice>
      <mc:Fallback>
        <xdr:sp macro="" textlink="">
          <xdr:nvSpPr>
            <xdr:cNvPr id="29" name="pole tekstowe 2">
              <a:extLst>
                <a:ext uri="{FF2B5EF4-FFF2-40B4-BE49-F238E27FC236}">
                  <a16:creationId xmlns:a16="http://schemas.microsoft.com/office/drawing/2014/main" id="{F39D1A44-1840-4C97-BB33-F18041729E06}"/>
                </a:ext>
              </a:extLst>
            </xdr:cNvPr>
            <xdr:cNvSpPr txBox="1"/>
          </xdr:nvSpPr>
          <xdr:spPr>
            <a:xfrm>
              <a:off x="1430020" y="6105525"/>
              <a:ext cx="10673715" cy="2495363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hr-HR"/>
                <a:t>Naivna prognoza:</a:t>
              </a:r>
              <a:endParaRPr lang="hr-HR" sz="1800" i="1" kern="100">
                <a:effectLst/>
                <a:latin typeface="Cambria Math" panose="02040503050406030204" pitchFamily="18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𝑝_𝑡=𝑦_(𝑡−1)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where: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</a:t>
              </a:r>
              <a:r>
                <a:rPr lang="pl-PL" sz="1800" i="1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t</a:t>
              </a:r>
              <a:r>
                <a:rPr lang="pl-PL" sz="1800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</a:t>
              </a:r>
              <a:r>
                <a:rPr lang="hr-HR"/>
                <a:t>prognoza za razdoblje t 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y</a:t>
              </a:r>
              <a:r>
                <a:rPr lang="pl-PL" sz="1800" i="1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t-1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stvarna vrijednost potražnje iz razdoblja koje prethodi t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.</a:t>
              </a:r>
            </a:p>
          </xdr:txBody>
        </xdr:sp>
      </mc:Fallback>
    </mc:AlternateContent>
    <xdr:clientData/>
  </xdr:twoCellAnchor>
  <xdr:twoCellAnchor>
    <xdr:from>
      <xdr:col>2</xdr:col>
      <xdr:colOff>304801</xdr:colOff>
      <xdr:row>135</xdr:row>
      <xdr:rowOff>86572</xdr:rowOff>
    </xdr:from>
    <xdr:to>
      <xdr:col>8</xdr:col>
      <xdr:colOff>40641</xdr:colOff>
      <xdr:row>148</xdr:row>
      <xdr:rowOff>96660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0" name="pole tekstowe 2">
              <a:extLst>
                <a:ext uri="{FF2B5EF4-FFF2-40B4-BE49-F238E27FC236}">
                  <a16:creationId xmlns:a16="http://schemas.microsoft.com/office/drawing/2014/main" id="{122544B5-D802-4EB0-B04B-B5211951F513}"/>
                </a:ext>
              </a:extLst>
            </xdr:cNvPr>
            <xdr:cNvSpPr txBox="1"/>
          </xdr:nvSpPr>
          <xdr:spPr>
            <a:xfrm>
              <a:off x="1771651" y="26232697"/>
              <a:ext cx="5536565" cy="2486588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>
                <a:lnSpc>
                  <a:spcPct val="150000"/>
                </a:lnSpc>
                <a:spcAft>
                  <a:spcPts val="600"/>
                </a:spcAft>
              </a:pPr>
              <a:endParaRPr lang="pl-PL" sz="1800" i="1" kern="100">
                <a:effectLst/>
                <a:latin typeface="Cambria Math" panose="02040503050406030204" pitchFamily="18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RMSE error:</a:t>
              </a:r>
            </a:p>
            <a:p>
              <a:pPr algn="ctr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Times New Roman" panose="02020603050405020304" pitchFamily="18" charset="0"/>
                      </a:rPr>
                      <m:t>𝑅𝑀𝑆𝐸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pl-PL" sz="18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pl-PL" sz="18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</m:ctrlPr>
                              </m:sSupPr>
                              <m:e>
                                <m:nary>
                                  <m:naryPr>
                                    <m:chr m:val="∑"/>
                                    <m:limLoc m:val="undOvr"/>
                                    <m:subHide m:val="on"/>
                                    <m:supHide m:val="on"/>
                                    <m:ctrlPr>
                                      <a:rPr lang="pl-PL" sz="1800" i="1" kern="100">
                                        <a:effectLst/>
                                        <a:latin typeface="Cambria Math" panose="02040503050406030204" pitchFamily="18" charset="0"/>
                                        <a:ea typeface="Calibri" panose="020F0502020204030204" pitchFamily="34" charset="0"/>
                                        <a:cs typeface="Times New Roman" panose="02020603050405020304" pitchFamily="18" charset="0"/>
                                      </a:rPr>
                                    </m:ctrlPr>
                                  </m:naryPr>
                                  <m:sub/>
                                  <m:sup/>
                                  <m:e>
                                    <m:r>
                                      <a:rPr lang="pl-PL" sz="1800" i="1" kern="100">
                                        <a:effectLst/>
                                        <a:latin typeface="Cambria Math" panose="02040503050406030204" pitchFamily="18" charset="0"/>
                                        <a:ea typeface="Calibri" panose="020F0502020204030204" pitchFamily="34" charset="0"/>
                                        <a:cs typeface="Times New Roman" panose="02020603050405020304" pitchFamily="18" charset="0"/>
                                      </a:rPr>
                                      <m:t>(</m:t>
                                    </m:r>
                                    <m:sSub>
                                      <m:sSubPr>
                                        <m:ctrlP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  <m:t>𝑝</m:t>
                                        </m:r>
                                      </m:e>
                                      <m:sub>
                                        <m: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  <m:t>𝑡</m:t>
                                        </m:r>
                                      </m:sub>
                                    </m:sSub>
                                    <m:r>
                                      <a:rPr lang="pl-PL" sz="1800" i="1" kern="100">
                                        <a:effectLst/>
                                        <a:latin typeface="Cambria Math" panose="02040503050406030204" pitchFamily="18" charset="0"/>
                                        <a:ea typeface="Calibri" panose="020F0502020204030204" pitchFamily="34" charset="0"/>
                                        <a:cs typeface="Times New Roman" panose="02020603050405020304" pitchFamily="18" charset="0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  <m:t>𝑦</m:t>
                                        </m:r>
                                      </m:e>
                                      <m:sub>
                                        <m: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  <m:t>𝑡</m:t>
                                        </m:r>
                                      </m:sub>
                                    </m:sSub>
                                    <m:r>
                                      <a:rPr lang="pl-PL" sz="1800" i="1" kern="100">
                                        <a:effectLst/>
                                        <a:latin typeface="Cambria Math" panose="02040503050406030204" pitchFamily="18" charset="0"/>
                                        <a:ea typeface="Calibri" panose="020F0502020204030204" pitchFamily="34" charset="0"/>
                                        <a:cs typeface="Times New Roman" panose="02020603050405020304" pitchFamily="18" charset="0"/>
                                      </a:rPr>
                                      <m:t>)</m:t>
                                    </m:r>
                                  </m:e>
                                </m:nary>
                              </m:e>
                              <m:sup>
                                <m:r>
                                  <a:rPr lang="pl-PL" sz="18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r>
                              <a:rPr lang="pl-PL" sz="18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𝑛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>
        <xdr:sp macro="" textlink="">
          <xdr:nvSpPr>
            <xdr:cNvPr id="30" name="pole tekstowe 2">
              <a:extLst>
                <a:ext uri="{FF2B5EF4-FFF2-40B4-BE49-F238E27FC236}">
                  <a16:creationId xmlns:a16="http://schemas.microsoft.com/office/drawing/2014/main" id="{122544B5-D802-4EB0-B04B-B5211951F513}"/>
                </a:ext>
              </a:extLst>
            </xdr:cNvPr>
            <xdr:cNvSpPr txBox="1"/>
          </xdr:nvSpPr>
          <xdr:spPr>
            <a:xfrm>
              <a:off x="1771651" y="26232697"/>
              <a:ext cx="5536565" cy="2486588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>
                <a:lnSpc>
                  <a:spcPct val="150000"/>
                </a:lnSpc>
                <a:spcAft>
                  <a:spcPts val="600"/>
                </a:spcAft>
              </a:pPr>
              <a:endParaRPr lang="pl-PL" sz="1800" i="1" kern="100">
                <a:effectLst/>
                <a:latin typeface="Cambria Math" panose="02040503050406030204" pitchFamily="18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RMSE error:</a:t>
              </a:r>
            </a:p>
            <a:p>
              <a:pPr algn="ctr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𝑅𝑀𝑆𝐸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=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√(∑1▒〖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(𝑝_𝑡−𝑦_𝑡)〗^2/𝑛)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6</xdr:col>
      <xdr:colOff>66675</xdr:colOff>
      <xdr:row>143</xdr:row>
      <xdr:rowOff>38100</xdr:rowOff>
    </xdr:from>
    <xdr:to>
      <xdr:col>12</xdr:col>
      <xdr:colOff>905495</xdr:colOff>
      <xdr:row>148</xdr:row>
      <xdr:rowOff>168995</xdr:rowOff>
    </xdr:to>
    <xdr:sp macro="" textlink="">
      <xdr:nvSpPr>
        <xdr:cNvPr id="31" name="pole tekstowe 12">
          <a:extLst>
            <a:ext uri="{FF2B5EF4-FFF2-40B4-BE49-F238E27FC236}">
              <a16:creationId xmlns:a16="http://schemas.microsoft.com/office/drawing/2014/main" id="{9FADF766-4B80-49CF-B0DB-29C18536E5C3}"/>
            </a:ext>
          </a:extLst>
        </xdr:cNvPr>
        <xdr:cNvSpPr txBox="1"/>
      </xdr:nvSpPr>
      <xdr:spPr>
        <a:xfrm>
          <a:off x="5505450" y="27708225"/>
          <a:ext cx="6325220" cy="1083395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pl-PL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indent="449580" algn="just">
            <a:lnSpc>
              <a:spcPct val="150000"/>
            </a:lnSpc>
            <a:spcAft>
              <a:spcPts val="600"/>
            </a:spcAft>
          </a:pPr>
          <a:r>
            <a:rPr lang="pl-PL" sz="1200" i="1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</a:t>
          </a:r>
          <a:r>
            <a:rPr lang="pl-PL" sz="1200" i="1" kern="100" baseline="-250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</a:t>
          </a:r>
          <a:r>
            <a:rPr lang="pl-PL" sz="1200" kern="100" baseline="-250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pl-PL" sz="1200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– greška za razdoblje t</a:t>
          </a:r>
        </a:p>
        <a:p>
          <a:pPr indent="449580" algn="just">
            <a:lnSpc>
              <a:spcPct val="150000"/>
            </a:lnSpc>
            <a:spcAft>
              <a:spcPts val="600"/>
            </a:spcAft>
          </a:pPr>
          <a:r>
            <a:rPr lang="pl-PL" sz="1200" i="1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y</a:t>
          </a:r>
          <a:r>
            <a:rPr lang="pl-PL" sz="1200" i="1" kern="100" baseline="-250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 </a:t>
          </a:r>
          <a:r>
            <a:rPr lang="pl-PL" sz="1200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– </a:t>
          </a:r>
          <a:r>
            <a:rPr lang="hr-HR" sz="1200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stvarna vrijednost potražnje za razdoblje </a:t>
          </a:r>
          <a:r>
            <a:rPr lang="en-US" sz="1200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</a:t>
          </a:r>
          <a:endParaRPr lang="pl-PL" sz="1200" kern="100">
            <a:effectLst/>
            <a:latin typeface="Tahom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indent="449580" algn="just">
            <a:lnSpc>
              <a:spcPct val="150000"/>
            </a:lnSpc>
            <a:spcAft>
              <a:spcPts val="600"/>
            </a:spcAft>
          </a:pPr>
          <a:r>
            <a:rPr lang="pl-PL" sz="1200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 – broj analiziranih razdoblja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67</xdr:col>
      <xdr:colOff>555812</xdr:colOff>
      <xdr:row>23</xdr:row>
      <xdr:rowOff>0</xdr:rowOff>
    </xdr:from>
    <xdr:to>
      <xdr:col>71</xdr:col>
      <xdr:colOff>701385</xdr:colOff>
      <xdr:row>32</xdr:row>
      <xdr:rowOff>75432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3171912" y="4714609"/>
          <a:ext cx="3521233" cy="1704431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275396</xdr:colOff>
      <xdr:row>65</xdr:row>
      <xdr:rowOff>165769</xdr:rowOff>
    </xdr:from>
    <xdr:to>
      <xdr:col>14</xdr:col>
      <xdr:colOff>664907</xdr:colOff>
      <xdr:row>88</xdr:row>
      <xdr:rowOff>124627</xdr:rowOff>
    </xdr:to>
    <xdr:graphicFrame macro="">
      <xdr:nvGraphicFramePr>
        <xdr:cNvPr id="8" name="Wykres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348599</xdr:colOff>
      <xdr:row>89</xdr:row>
      <xdr:rowOff>114919</xdr:rowOff>
    </xdr:from>
    <xdr:to>
      <xdr:col>14</xdr:col>
      <xdr:colOff>708490</xdr:colOff>
      <xdr:row>112</xdr:row>
      <xdr:rowOff>78838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311727</xdr:colOff>
      <xdr:row>113</xdr:row>
      <xdr:rowOff>168752</xdr:rowOff>
    </xdr:from>
    <xdr:to>
      <xdr:col>14</xdr:col>
      <xdr:colOff>673523</xdr:colOff>
      <xdr:row>136</xdr:row>
      <xdr:rowOff>142627</xdr:rowOff>
    </xdr:to>
    <xdr:graphicFrame macro="">
      <xdr:nvGraphicFramePr>
        <xdr:cNvPr id="10" name="Wykres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201207</xdr:colOff>
      <xdr:row>25</xdr:row>
      <xdr:rowOff>79685</xdr:rowOff>
    </xdr:from>
    <xdr:to>
      <xdr:col>11</xdr:col>
      <xdr:colOff>511187</xdr:colOff>
      <xdr:row>55</xdr:row>
      <xdr:rowOff>24211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pole tekstowe 4">
              <a:extLst>
                <a:ext uri="{FF2B5EF4-FFF2-40B4-BE49-F238E27FC236}">
                  <a16:creationId xmlns:a16="http://schemas.microsoft.com/office/drawing/2014/main" id="{9615A5E3-944C-49F4-890A-08B67D07767F}"/>
                </a:ext>
              </a:extLst>
            </xdr:cNvPr>
            <xdr:cNvSpPr txBox="1"/>
          </xdr:nvSpPr>
          <xdr:spPr>
            <a:xfrm>
              <a:off x="201207" y="4118285"/>
              <a:ext cx="9482555" cy="5640476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Holtov model, prezentiran kroz formalni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𝛼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d>
                      <m:d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d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1−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𝛼</m:t>
                        </m:r>
                      </m:e>
                    </m:d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(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</m:t>
                    </m:r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−2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(1−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)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gdje je: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𝛼</m:t>
                  </m:r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– faktor zaglađivanja za varijablu razine</a:t>
              </a:r>
              <a:endParaRPr lang="hr-HR">
                <a:effectLst/>
              </a:endParaRPr>
            </a:p>
            <a:p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𝛽</m:t>
                  </m:r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– faktor zaglađivanja rasta.</a:t>
              </a:r>
              <a:endParaRPr lang="hr-HR">
                <a:effectLst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 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PRema modelu, potrebne su dvije početne vrijednosti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ctr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𝐿</m:t>
                      </m:r>
                    </m:e>
                    <m:sub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</m:sub>
                  </m:sSub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=</m:t>
                  </m:r>
                  <m:sSub>
                    <m:sSubPr>
                      <m:ctrlP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𝑦</m:t>
                      </m:r>
                    </m:e>
                    <m:sub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−1</m:t>
                      </m:r>
                    </m:sub>
                  </m:sSub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prema naivnoj metodi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−2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>
        <xdr:sp macro="" textlink="">
          <xdr:nvSpPr>
            <xdr:cNvPr id="2" name="pole tekstowe 4">
              <a:extLst>
                <a:ext uri="{FF2B5EF4-FFF2-40B4-BE49-F238E27FC236}">
                  <a16:creationId xmlns:a16="http://schemas.microsoft.com/office/drawing/2014/main" id="{9615A5E3-944C-49F4-890A-08B67D07767F}"/>
                </a:ext>
              </a:extLst>
            </xdr:cNvPr>
            <xdr:cNvSpPr txBox="1"/>
          </xdr:nvSpPr>
          <xdr:spPr>
            <a:xfrm>
              <a:off x="201207" y="4118285"/>
              <a:ext cx="9482555" cy="5640476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Holtov model, prezentiran kroz formalni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𝑝_𝑡=𝐿_(𝑡−1)+𝑇_(𝑡−1)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𝐿_𝑡=𝛼𝑦_(𝑡−1)+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1−𝛼)(𝐿_(𝑡−1)+𝑇_(𝑡−1))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𝛽(𝐿〗_(𝑡−1)−𝐿_(𝑡−2))+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(1−𝛽)𝑇〗_(𝑡−1)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gdje je: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r>
                <a:rPr lang="pl-PL" sz="1800" i="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𝛼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– faktor zaglađivanja za varijablu razine</a:t>
              </a:r>
              <a:endParaRPr lang="hr-HR">
                <a:effectLst/>
              </a:endParaRPr>
            </a:p>
            <a:p>
              <a:r>
                <a:rPr lang="pl-PL" sz="1800" i="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𝛽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– faktor zaglađivanja rasta.</a:t>
              </a:r>
              <a:endParaRPr lang="hr-HR">
                <a:effectLst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 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PRema modelu, potrebne su dvije početne vrijednosti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ctr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𝐿_𝑡=𝑦_(𝑡−1)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prema naivnoj metodi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𝑇_𝑡=𝑦_(𝑡−1)−𝑦_(𝑡−2)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8</xdr:col>
      <xdr:colOff>244686</xdr:colOff>
      <xdr:row>25</xdr:row>
      <xdr:rowOff>152400</xdr:rowOff>
    </xdr:from>
    <xdr:to>
      <xdr:col>24</xdr:col>
      <xdr:colOff>312964</xdr:colOff>
      <xdr:row>52</xdr:row>
      <xdr:rowOff>28764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pole tekstowe 4">
              <a:extLst>
                <a:ext uri="{FF2B5EF4-FFF2-40B4-BE49-F238E27FC236}">
                  <a16:creationId xmlns:a16="http://schemas.microsoft.com/office/drawing/2014/main" id="{69E553B6-619A-48A3-8136-C90F6DA4BC54}"/>
                </a:ext>
              </a:extLst>
            </xdr:cNvPr>
            <xdr:cNvSpPr txBox="1"/>
          </xdr:nvSpPr>
          <xdr:spPr>
            <a:xfrm>
              <a:off x="7159836" y="4191000"/>
              <a:ext cx="12107878" cy="5000814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Wintersov model,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prezentiran kroz formalni model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𝑆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sub>
                    </m:sSub>
                  </m:oMath>
                </m:oMathPara>
              </a14:m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𝛼</m:t>
                    </m:r>
                    <m:d>
                      <m:d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𝑡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𝑡</m:t>
                                </m:r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−</m:t>
                                </m:r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𝑝</m:t>
                                </m:r>
                              </m:sub>
                            </m:sSub>
                          </m:den>
                        </m:f>
                      </m:e>
                    </m:d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+(1−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𝛼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)(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</m:t>
                    </m:r>
                  </m:oMath>
                </m:oMathPara>
              </a14:m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)+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(1−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)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𝑆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𝛿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(</m:t>
                    </m:r>
                    <m:f>
                      <m:f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</m:ctrlPr>
                          </m:sSubPr>
                          <m:e>
                            <m: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</m:ctrlPr>
                          </m:sSubPr>
                          <m:e>
                            <m: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𝐿</m:t>
                            </m:r>
                          </m:e>
                          <m:sub>
                            <m: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𝑡</m:t>
                            </m:r>
                          </m:sub>
                        </m:sSub>
                      </m:den>
                    </m:f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)+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(1−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𝛿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)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𝑆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sub>
                    </m:sSub>
                  </m:oMath>
                </m:oMathPara>
              </a14:m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	in which: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𝛼</m:t>
                  </m:r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faktor zaglađivanja za varijablu razine			</a:t>
              </a:r>
              <a14:m>
                <m:oMath xmlns:m="http://schemas.openxmlformats.org/officeDocument/2006/math">
                  <m:sSub>
                    <m:sSubPr>
                      <m:ctrlP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𝐿</m:t>
                      </m:r>
                    </m:e>
                    <m:sub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𝑡</m:t>
                      </m:r>
                    </m:sub>
                  </m:sSub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komponenta razine u vremenu</a:t>
              </a:r>
              <a:r>
                <a:rPr lang="hr-HR" sz="1800" kern="1200" baseline="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𝛽</m:t>
                  </m:r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growth smoothing factor.				 </a:t>
              </a:r>
              <a14:m>
                <m:oMath xmlns:m="http://schemas.openxmlformats.org/officeDocument/2006/math">
                  <m:sSub>
                    <m:sSubPr>
                      <m:ctrlP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𝑇</m:t>
                      </m:r>
                    </m:e>
                    <m:sub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𝑡</m:t>
                      </m:r>
                    </m:sub>
                  </m:sSub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komponenta trenda u vremenu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i="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	</a:t>
              </a:r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𝛿</m:t>
                  </m:r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seasonal component factor				 </a:t>
              </a:r>
              <a14:m>
                <m:oMath xmlns:m="http://schemas.openxmlformats.org/officeDocument/2006/math">
                  <m:sSub>
                    <m:sSubPr>
                      <m:ctrlP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𝑆</m:t>
                      </m:r>
                    </m:e>
                    <m:sub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𝑡</m:t>
                      </m:r>
                    </m:sub>
                  </m:sSub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komponenta</a:t>
              </a:r>
              <a:r>
                <a:rPr lang="hr-HR" sz="1800" kern="1200" baseline="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sezonalnosti u vremenu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𝑝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– sezonsko razdoblje</a:t>
              </a:r>
              <a:r>
                <a:rPr lang="pl-PL" sz="1600" kern="100"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.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>
        <xdr:sp macro="" textlink="">
          <xdr:nvSpPr>
            <xdr:cNvPr id="3" name="pole tekstowe 4">
              <a:extLst>
                <a:ext uri="{FF2B5EF4-FFF2-40B4-BE49-F238E27FC236}">
                  <a16:creationId xmlns:a16="http://schemas.microsoft.com/office/drawing/2014/main" id="{69E553B6-619A-48A3-8136-C90F6DA4BC54}"/>
                </a:ext>
              </a:extLst>
            </xdr:cNvPr>
            <xdr:cNvSpPr txBox="1"/>
          </xdr:nvSpPr>
          <xdr:spPr>
            <a:xfrm>
              <a:off x="7159836" y="4191000"/>
              <a:ext cx="12107878" cy="5000814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Wintersov model,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prezentiran kroz formalni model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(𝐿〗_(𝑡−1)+𝑇_(𝑡−1))𝑆_(𝑡−𝑝)</a:t>
              </a: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𝐿_𝑡=𝛼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𝑦_𝑡/𝑆_(𝑡−𝑝) )+(1−𝛼)(𝐿_(𝑡−1)+𝑇_(𝑡−1))</a:t>
              </a: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𝛽(𝐿〗_𝑡−𝐿_(𝑡−1))+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(1−𝛽)𝑇〗_(𝑡−1)</a:t>
              </a: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𝑆_𝑡=𝛿(𝑦_𝑡/𝐿_𝑡 )+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(1−𝛿)𝑆〗_(𝑡−𝑝)</a:t>
              </a: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	in which: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𝛼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faktor zaglađivanja za varijablu razine			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𝐿_𝑡 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komponenta razine u vremenu</a:t>
              </a:r>
              <a:r>
                <a:rPr lang="hr-HR" sz="1800" kern="1200" baseline="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𝛽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growth smoothing factor.				 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𝑇_𝑡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komponenta trenda u vremenu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i="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	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𝛿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seasonal component factor				 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𝑆_𝑡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hr-HR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komponenta</a:t>
              </a:r>
              <a:r>
                <a:rPr lang="hr-HR" sz="1800" kern="1200" baseline="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sezonalnosti u vremenu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𝑝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– sezonsko razdoblje</a:t>
              </a:r>
              <a:r>
                <a:rPr lang="pl-PL" sz="1600" kern="100"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.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3</xdr:row>
      <xdr:rowOff>77837</xdr:rowOff>
    </xdr:from>
    <xdr:to>
      <xdr:col>4</xdr:col>
      <xdr:colOff>736600</xdr:colOff>
      <xdr:row>11</xdr:row>
      <xdr:rowOff>76200</xdr:rowOff>
    </xdr:to>
    <xdr:sp macro="" textlink="">
      <xdr:nvSpPr>
        <xdr:cNvPr id="2" name="Prostokąt: zaokrąglony róg i ścięty róg u góry 1">
          <a:extLst>
            <a:ext uri="{FF2B5EF4-FFF2-40B4-BE49-F238E27FC236}">
              <a16:creationId xmlns:a16="http://schemas.microsoft.com/office/drawing/2014/main" id="{25111755-4D6A-448B-A60E-1992B97D7FFD}"/>
            </a:ext>
          </a:extLst>
        </xdr:cNvPr>
        <xdr:cNvSpPr/>
      </xdr:nvSpPr>
      <xdr:spPr>
        <a:xfrm>
          <a:off x="16510" y="601712"/>
          <a:ext cx="3038475" cy="1369963"/>
        </a:xfrm>
        <a:prstGeom prst="snipRoundRect">
          <a:avLst/>
        </a:prstGeom>
        <a:solidFill>
          <a:schemeClr val="accent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hr-HR" sz="1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Stupci od A do F navode parametre modela koje je potrebno izračunati</a:t>
          </a:r>
          <a:endParaRPr lang="pl-PL" sz="1800" b="1"/>
        </a:p>
        <a:p>
          <a:pPr algn="l"/>
          <a:endParaRPr lang="pl-PL" sz="1800" b="1"/>
        </a:p>
      </xdr:txBody>
    </xdr:sp>
    <xdr:clientData/>
  </xdr:twoCellAnchor>
  <xdr:twoCellAnchor>
    <xdr:from>
      <xdr:col>0</xdr:col>
      <xdr:colOff>0</xdr:colOff>
      <xdr:row>21</xdr:row>
      <xdr:rowOff>109639</xdr:rowOff>
    </xdr:from>
    <xdr:to>
      <xdr:col>5</xdr:col>
      <xdr:colOff>90905</xdr:colOff>
      <xdr:row>29</xdr:row>
      <xdr:rowOff>29211</xdr:rowOff>
    </xdr:to>
    <xdr:sp macro="" textlink="">
      <xdr:nvSpPr>
        <xdr:cNvPr id="3" name="Prostokąt: zaokrąglony róg i ścięty róg u góry 2">
          <a:extLst>
            <a:ext uri="{FF2B5EF4-FFF2-40B4-BE49-F238E27FC236}">
              <a16:creationId xmlns:a16="http://schemas.microsoft.com/office/drawing/2014/main" id="{F4FD507E-9257-471E-AEEF-68BE8700A4B6}"/>
            </a:ext>
          </a:extLst>
        </xdr:cNvPr>
        <xdr:cNvSpPr/>
      </xdr:nvSpPr>
      <xdr:spPr>
        <a:xfrm>
          <a:off x="0" y="3727234"/>
          <a:ext cx="3161765" cy="1291172"/>
        </a:xfrm>
        <a:prstGeom prst="snipRoundRect">
          <a:avLst>
            <a:gd name="adj1" fmla="val 16667"/>
            <a:gd name="adj2" fmla="val 15059"/>
          </a:avLst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hr-HR" sz="14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Prodaja je prikazana u stupcima od I do AD. Izračunajte prognoze za sve indekse i dodajte sažetak rezultata na list "sažetak".</a:t>
          </a:r>
          <a:endParaRPr lang="hr-HR" sz="2000">
            <a:effectLst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283779</xdr:colOff>
      <xdr:row>12</xdr:row>
      <xdr:rowOff>84082</xdr:rowOff>
    </xdr:from>
    <xdr:to>
      <xdr:col>6</xdr:col>
      <xdr:colOff>116833</xdr:colOff>
      <xdr:row>21</xdr:row>
      <xdr:rowOff>138545</xdr:rowOff>
    </xdr:to>
    <xdr:sp macro="" textlink="">
      <xdr:nvSpPr>
        <xdr:cNvPr id="2" name="Prostokąt: zaokrąglony róg i ścięty róg u góry 1">
          <a:extLst>
            <a:ext uri="{FF2B5EF4-FFF2-40B4-BE49-F238E27FC236}">
              <a16:creationId xmlns:a16="http://schemas.microsoft.com/office/drawing/2014/main" id="{7658AEB6-EA16-4D57-8108-2432C9FD1D8B}"/>
            </a:ext>
          </a:extLst>
        </xdr:cNvPr>
        <xdr:cNvSpPr/>
      </xdr:nvSpPr>
      <xdr:spPr>
        <a:xfrm>
          <a:off x="287589" y="2410087"/>
          <a:ext cx="5287069" cy="1677523"/>
        </a:xfrm>
        <a:prstGeom prst="snipRoundRect">
          <a:avLst/>
        </a:prstGeom>
        <a:solidFill>
          <a:schemeClr val="accent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hr-HR" sz="16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Sažeti rezultate s lista "Zadatak - višestruki indeksi" </a:t>
          </a:r>
          <a:endParaRPr lang="hr-HR" sz="1600">
            <a:effectLst/>
          </a:endParaRPr>
        </a:p>
        <a:p>
          <a:br>
            <a:rPr lang="hr-HR" sz="16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lang="hr-HR" sz="16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Prikaži pogreške predviđanja u gornjoj tablici. </a:t>
          </a:r>
        </a:p>
        <a:p>
          <a:endParaRPr lang="hr-HR" sz="1600">
            <a:effectLst/>
          </a:endParaRPr>
        </a:p>
        <a:p>
          <a:r>
            <a:rPr lang="hr-HR" sz="16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Postoje pozitivne i negativne razlike, razmislite na što to može utjecati.</a:t>
          </a:r>
          <a:endParaRPr lang="hr-HR" sz="16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50"/>
  <sheetViews>
    <sheetView zoomScaleNormal="100" workbookViewId="0">
      <pane xSplit="2" ySplit="3" topLeftCell="L4" activePane="bottomRight" state="frozen"/>
      <selection pane="topRight" activeCell="C1" sqref="C1"/>
      <selection pane="bottomLeft" activeCell="A4" sqref="A4"/>
      <selection pane="bottomRight" activeCell="AB18" sqref="AB18"/>
    </sheetView>
  </sheetViews>
  <sheetFormatPr defaultRowHeight="15"/>
  <cols>
    <col min="2" max="3" width="12.85546875" customWidth="1"/>
    <col min="4" max="6" width="15.5703125" customWidth="1"/>
    <col min="7" max="15" width="13.7109375" customWidth="1"/>
    <col min="16" max="16" width="13.85546875" customWidth="1"/>
    <col min="17" max="17" width="12.85546875" customWidth="1"/>
    <col min="18" max="25" width="13.140625" customWidth="1"/>
    <col min="26" max="27" width="14.140625" customWidth="1"/>
    <col min="28" max="28" width="19.7109375" customWidth="1"/>
  </cols>
  <sheetData>
    <row r="1" spans="1:28" ht="30" customHeight="1">
      <c r="A1" s="176" t="s">
        <v>51</v>
      </c>
      <c r="B1" s="176"/>
      <c r="C1" s="170" t="s">
        <v>36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2"/>
      <c r="Q1" s="167" t="s">
        <v>37</v>
      </c>
      <c r="R1" s="168"/>
      <c r="S1" s="168"/>
      <c r="T1" s="168"/>
      <c r="U1" s="168"/>
      <c r="V1" s="168"/>
      <c r="W1" s="168"/>
      <c r="X1" s="168"/>
      <c r="Y1" s="168"/>
      <c r="Z1" s="168"/>
      <c r="AA1" s="169"/>
    </row>
    <row r="2" spans="1:28" ht="45">
      <c r="A2" s="176"/>
      <c r="B2" s="176"/>
      <c r="C2" s="173" t="s">
        <v>52</v>
      </c>
      <c r="D2" s="173" t="s">
        <v>53</v>
      </c>
      <c r="E2" s="173"/>
      <c r="F2" s="173"/>
      <c r="G2" s="177" t="s">
        <v>54</v>
      </c>
      <c r="H2" s="178" t="s">
        <v>55</v>
      </c>
      <c r="I2" s="179"/>
      <c r="J2" s="180"/>
      <c r="K2" s="170" t="s">
        <v>56</v>
      </c>
      <c r="L2" s="171"/>
      <c r="M2" s="171"/>
      <c r="N2" s="172"/>
      <c r="O2" s="177" t="s">
        <v>57</v>
      </c>
      <c r="P2" s="177"/>
      <c r="Q2" s="6" t="s">
        <v>52</v>
      </c>
      <c r="R2" s="6" t="s">
        <v>53</v>
      </c>
      <c r="S2" s="6"/>
      <c r="T2" s="6"/>
      <c r="U2" s="6" t="s">
        <v>6</v>
      </c>
      <c r="V2" s="6" t="s">
        <v>8</v>
      </c>
      <c r="W2" s="12" t="s">
        <v>56</v>
      </c>
      <c r="X2" s="13"/>
      <c r="Y2" s="14"/>
      <c r="Z2" s="12" t="s">
        <v>57</v>
      </c>
      <c r="AA2" s="14"/>
    </row>
    <row r="3" spans="1:28" ht="39" customHeight="1">
      <c r="A3" s="5" t="s">
        <v>58</v>
      </c>
      <c r="B3" s="5" t="s">
        <v>59</v>
      </c>
      <c r="C3" s="173"/>
      <c r="D3" s="4" t="s">
        <v>60</v>
      </c>
      <c r="E3" s="4" t="s">
        <v>61</v>
      </c>
      <c r="F3" s="160" t="s">
        <v>62</v>
      </c>
      <c r="G3" s="177"/>
      <c r="H3" s="4" t="s">
        <v>9</v>
      </c>
      <c r="I3" s="4" t="s">
        <v>10</v>
      </c>
      <c r="J3" s="4" t="s">
        <v>63</v>
      </c>
      <c r="K3" s="4" t="s">
        <v>64</v>
      </c>
      <c r="L3" s="4" t="s">
        <v>65</v>
      </c>
      <c r="M3" s="160" t="s">
        <v>66</v>
      </c>
      <c r="N3" s="160" t="s">
        <v>67</v>
      </c>
      <c r="O3" s="4" t="s">
        <v>68</v>
      </c>
      <c r="P3" s="4" t="s">
        <v>69</v>
      </c>
      <c r="Q3" s="6"/>
      <c r="R3" s="6" t="s">
        <v>60</v>
      </c>
      <c r="S3" s="6" t="s">
        <v>61</v>
      </c>
      <c r="T3" s="6" t="s">
        <v>62</v>
      </c>
      <c r="U3" s="6"/>
      <c r="V3" s="6"/>
      <c r="W3" s="4" t="s">
        <v>64</v>
      </c>
      <c r="X3" s="4" t="s">
        <v>70</v>
      </c>
      <c r="Y3" s="4" t="s">
        <v>71</v>
      </c>
      <c r="Z3" s="6" t="s">
        <v>68</v>
      </c>
      <c r="AA3" s="6" t="s">
        <v>69</v>
      </c>
    </row>
    <row r="4" spans="1:28" ht="14.45" customHeight="1">
      <c r="A4" s="2">
        <v>1</v>
      </c>
      <c r="B4" s="2">
        <v>119</v>
      </c>
      <c r="C4" s="2"/>
      <c r="D4" s="2"/>
      <c r="E4" s="2"/>
      <c r="F4" s="2"/>
      <c r="G4" s="2"/>
      <c r="H4" s="2">
        <f>B4</f>
        <v>119</v>
      </c>
      <c r="I4" s="2">
        <f>B5-B4</f>
        <v>10</v>
      </c>
      <c r="J4" s="2"/>
      <c r="K4" s="19" cm="1">
        <f t="array" ref="K4">TREND($B$4:$B$15,$A$4:$A$15,A4)</f>
        <v>124.16666666666667</v>
      </c>
      <c r="L4" s="2">
        <f t="shared" ref="L4:L16" si="0">ROUNDUP($L$20*A4^$L$22,0)</f>
        <v>125</v>
      </c>
      <c r="M4" s="19" cm="1">
        <f t="array" ref="M4">TREND($B$4:$B$15,LN($A$4:$A$15),LN(A4))</f>
        <v>124.96883830567074</v>
      </c>
      <c r="N4" s="19" cm="1">
        <f t="array" ref="N4">GROWTH($B$4:$B$15,$A$4:$A$15,A4)</f>
        <v>123.85159458875836</v>
      </c>
      <c r="O4" s="2"/>
      <c r="P4" s="2"/>
      <c r="Q4" s="2" t="str">
        <f t="shared" ref="Q4:Q15" si="1">IF($C4="","",($B4-C4)^2)</f>
        <v/>
      </c>
      <c r="R4" s="2" t="str">
        <f t="shared" ref="R4:R15" si="2">IF($C4="","",($B4-D4)^2)</f>
        <v/>
      </c>
      <c r="S4" s="2" t="str">
        <f t="shared" ref="S4:S15" si="3">IF($C4="","",($B4-E4)^2)</f>
        <v/>
      </c>
      <c r="T4" s="2" t="str">
        <f t="shared" ref="T4:T15" si="4">IF($C4="","",($B4-F4)^2)</f>
        <v/>
      </c>
      <c r="U4" s="2" t="str">
        <f t="shared" ref="U4:U15" si="5">IF($C4="","",($B4-G4)^2)</f>
        <v/>
      </c>
      <c r="V4" s="2" t="str">
        <f t="shared" ref="V4:V15" si="6">IF($C4="","",($B4-J4)^2)</f>
        <v/>
      </c>
      <c r="W4" s="2" t="str">
        <f t="shared" ref="W4:W15" si="7">IF($C4="","",($B4-K4)^2)</f>
        <v/>
      </c>
      <c r="X4" s="19" t="str">
        <f t="shared" ref="X4:X15" si="8">IF($C4="","",($B4-L4)^2)</f>
        <v/>
      </c>
      <c r="Y4" s="19" t="str">
        <f t="shared" ref="Y4:Y15" si="9">IF($C4="","",($B4-M4)^2)</f>
        <v/>
      </c>
      <c r="Z4" s="19" t="str">
        <f t="shared" ref="Z4:Z15" si="10">IF($C4="","",($B4-N4)^2)</f>
        <v/>
      </c>
      <c r="AA4" s="19" t="str">
        <f t="shared" ref="AA4:AA15" si="11">IF($C4="","",($B4-O4)^2)</f>
        <v/>
      </c>
      <c r="AB4" s="11"/>
    </row>
    <row r="5" spans="1:28" ht="14.45" customHeight="1">
      <c r="A5" s="2">
        <v>2</v>
      </c>
      <c r="B5" s="2">
        <v>129</v>
      </c>
      <c r="C5" s="2">
        <f>B4</f>
        <v>119</v>
      </c>
      <c r="D5" s="2">
        <f>ROUNDUP(AVERAGE($B$4:B4),0)</f>
        <v>119</v>
      </c>
      <c r="E5" s="2"/>
      <c r="F5" s="2"/>
      <c r="G5" s="2"/>
      <c r="H5" s="2">
        <f>$H$20*B5+(1-$H$20)*(H4+I4)</f>
        <v>129</v>
      </c>
      <c r="I5" s="2">
        <f>$I$20*(H5-H4)+(1-$I$20)*I4</f>
        <v>10</v>
      </c>
      <c r="J5" s="2">
        <f>ROUNDUP(H4+I4,0)</f>
        <v>129</v>
      </c>
      <c r="K5" s="19" cm="1">
        <f t="array" ref="K5">TREND($B$4:$B$15,$A$4:$A$15,A5)</f>
        <v>123.03030303030305</v>
      </c>
      <c r="L5" s="2">
        <f t="shared" si="0"/>
        <v>122</v>
      </c>
      <c r="M5" s="19" cm="1">
        <f t="array" ref="M5">TREND($B$4:$B$15,LN($A$4:$A$15),LN(A5))</f>
        <v>122.03404643291944</v>
      </c>
      <c r="N5" s="19" cm="1">
        <f t="array" ref="N5">GROWTH($B$4:$B$15,$A$4:$A$15,A5)</f>
        <v>122.6775240411218</v>
      </c>
      <c r="O5" s="2"/>
      <c r="P5" s="2"/>
      <c r="Q5" s="2">
        <f t="shared" si="1"/>
        <v>100</v>
      </c>
      <c r="R5" s="2">
        <f t="shared" si="2"/>
        <v>100</v>
      </c>
      <c r="S5" s="2">
        <f t="shared" si="3"/>
        <v>16641</v>
      </c>
      <c r="T5" s="2">
        <f t="shared" si="4"/>
        <v>16641</v>
      </c>
      <c r="U5" s="2">
        <f t="shared" si="5"/>
        <v>16641</v>
      </c>
      <c r="V5" s="2">
        <f t="shared" si="6"/>
        <v>0</v>
      </c>
      <c r="W5" s="2">
        <f t="shared" si="7"/>
        <v>35.637281910009001</v>
      </c>
      <c r="X5" s="19">
        <f t="shared" si="8"/>
        <v>49</v>
      </c>
      <c r="Y5" s="19">
        <f t="shared" si="9"/>
        <v>48.52450909872239</v>
      </c>
      <c r="Z5" s="19">
        <f t="shared" si="10"/>
        <v>39.973702250592822</v>
      </c>
      <c r="AA5" s="19">
        <f t="shared" si="11"/>
        <v>16641</v>
      </c>
      <c r="AB5" s="11"/>
    </row>
    <row r="6" spans="1:28" ht="14.45" customHeight="1">
      <c r="A6" s="2">
        <v>3</v>
      </c>
      <c r="B6" s="2">
        <v>108</v>
      </c>
      <c r="C6" s="2">
        <f t="shared" ref="C6:C16" si="12">B5</f>
        <v>129</v>
      </c>
      <c r="D6" s="2">
        <f>ROUNDUP(AVERAGE($B$4:B5),0)</f>
        <v>124</v>
      </c>
      <c r="E6" s="2"/>
      <c r="F6" s="2"/>
      <c r="G6" s="2">
        <f>D6</f>
        <v>124</v>
      </c>
      <c r="H6" s="2">
        <f t="shared" ref="H6:H15" si="13">$H$20*B6+(1-$H$20)*(H5+I5)</f>
        <v>132.80000000000001</v>
      </c>
      <c r="I6" s="2">
        <f t="shared" ref="I6:I15" si="14">$I$20*(H6-H5)+(1-$I$20)*I5</f>
        <v>8.7600000000000016</v>
      </c>
      <c r="J6" s="2">
        <f t="shared" ref="J6:J16" si="15">ROUNDUP(H5+I5,0)</f>
        <v>139</v>
      </c>
      <c r="K6" s="19" cm="1">
        <f t="array" ref="K6">TREND($B$4:$B$15,$A$4:$A$15,A6)</f>
        <v>121.89393939393941</v>
      </c>
      <c r="L6" s="2">
        <f t="shared" si="0"/>
        <v>120</v>
      </c>
      <c r="M6" s="19" cm="1">
        <f t="array" ref="M6">TREND($B$4:$B$15,LN($A$4:$A$15),LN(A6))</f>
        <v>120.3173032399387</v>
      </c>
      <c r="N6" s="19" cm="1">
        <f t="array" ref="N6">GROWTH($B$4:$B$15,$A$4:$A$15,A6)</f>
        <v>121.51458327873672</v>
      </c>
      <c r="O6" s="2">
        <f>ROUNDUP(_xlfn.FORECAST.ETS(A6,$B$4:B5,$A$4:A5,$O$20,0,7),0)</f>
        <v>139</v>
      </c>
      <c r="P6" s="2">
        <f>ROUNDUP(_xlfn.FORECAST.ETS(A6,$B$4:B5,$A$4:A5,$P$20,0,7),0)</f>
        <v>139</v>
      </c>
      <c r="Q6" s="2">
        <f t="shared" si="1"/>
        <v>441</v>
      </c>
      <c r="R6" s="2">
        <f t="shared" si="2"/>
        <v>256</v>
      </c>
      <c r="S6" s="2">
        <f t="shared" si="3"/>
        <v>11664</v>
      </c>
      <c r="T6" s="2">
        <f t="shared" si="4"/>
        <v>11664</v>
      </c>
      <c r="U6" s="2">
        <f t="shared" si="5"/>
        <v>256</v>
      </c>
      <c r="V6" s="2">
        <f t="shared" si="6"/>
        <v>961</v>
      </c>
      <c r="W6" s="2">
        <f t="shared" si="7"/>
        <v>193.04155188246128</v>
      </c>
      <c r="X6" s="19">
        <f t="shared" si="8"/>
        <v>144</v>
      </c>
      <c r="Y6" s="19">
        <f t="shared" si="9"/>
        <v>151.71595910460428</v>
      </c>
      <c r="Z6" s="19">
        <f t="shared" si="10"/>
        <v>182.64396119791022</v>
      </c>
      <c r="AA6" s="19">
        <f t="shared" si="11"/>
        <v>961</v>
      </c>
      <c r="AB6" s="11"/>
    </row>
    <row r="7" spans="1:28">
      <c r="A7" s="2">
        <v>4</v>
      </c>
      <c r="B7" s="2">
        <v>119</v>
      </c>
      <c r="C7" s="2">
        <f t="shared" si="12"/>
        <v>108</v>
      </c>
      <c r="D7" s="2">
        <f>ROUNDUP(AVERAGE($B$4:B6),0)</f>
        <v>119</v>
      </c>
      <c r="E7" s="2">
        <f>ROUNDUP(AVERAGE(B4:B6),0)</f>
        <v>119</v>
      </c>
      <c r="F7" s="2">
        <f>ROUNDUP((B4*$F$20+B5*$F$22+B6*$F$24)/SUM($F$20,$F$22,$F$24),0)</f>
        <v>115</v>
      </c>
      <c r="G7" s="2">
        <f>ROUNDUP($G$20*B6+(1-$G$20)*G6,0)</f>
        <v>119</v>
      </c>
      <c r="H7" s="2">
        <f t="shared" si="13"/>
        <v>137.048</v>
      </c>
      <c r="I7" s="2">
        <f t="shared" si="14"/>
        <v>7.8575999999999997</v>
      </c>
      <c r="J7" s="2">
        <f t="shared" si="15"/>
        <v>142</v>
      </c>
      <c r="K7" s="19" cm="1">
        <f t="array" ref="K7">TREND($B$4:$B$15,$A$4:$A$15,A7)</f>
        <v>120.75757575757576</v>
      </c>
      <c r="L7" s="2">
        <f t="shared" si="0"/>
        <v>119</v>
      </c>
      <c r="M7" s="19" cm="1">
        <f t="array" ref="M7">TREND($B$4:$B$15,LN($A$4:$A$15),LN(A7))</f>
        <v>119.09925456016812</v>
      </c>
      <c r="N7" s="19" cm="1">
        <f t="array" ref="N7">GROWTH($B$4:$B$15,$A$4:$A$15,A7)</f>
        <v>120.3626667950644</v>
      </c>
      <c r="O7" s="2">
        <f>ROUNDUP(_xlfn.FORECAST.ETS(A7,$B$4:B6,$A$4:A6,$O$20,0,7),0)</f>
        <v>107</v>
      </c>
      <c r="P7" s="2">
        <f>ROUNDUP(_xlfn.FORECAST.ETS(A7,$B$4:B6,$A$4:A6,$P$20,0,7),0)</f>
        <v>107</v>
      </c>
      <c r="Q7" s="2">
        <f t="shared" si="1"/>
        <v>121</v>
      </c>
      <c r="R7" s="2">
        <f t="shared" si="2"/>
        <v>0</v>
      </c>
      <c r="S7" s="2">
        <f t="shared" si="3"/>
        <v>0</v>
      </c>
      <c r="T7" s="2">
        <f t="shared" si="4"/>
        <v>16</v>
      </c>
      <c r="U7" s="2">
        <f t="shared" si="5"/>
        <v>0</v>
      </c>
      <c r="V7" s="2">
        <f t="shared" si="6"/>
        <v>529</v>
      </c>
      <c r="W7" s="2">
        <f t="shared" si="7"/>
        <v>3.0890725436180237</v>
      </c>
      <c r="X7" s="19">
        <f t="shared" si="8"/>
        <v>0</v>
      </c>
      <c r="Y7" s="19">
        <f t="shared" si="9"/>
        <v>9.8514677141669661E-3</v>
      </c>
      <c r="Z7" s="19">
        <f t="shared" si="10"/>
        <v>1.8568607943710811</v>
      </c>
      <c r="AA7" s="19">
        <f t="shared" si="11"/>
        <v>144</v>
      </c>
    </row>
    <row r="8" spans="1:28">
      <c r="A8" s="2">
        <v>5</v>
      </c>
      <c r="B8" s="2">
        <v>142</v>
      </c>
      <c r="C8" s="2">
        <f t="shared" si="12"/>
        <v>119</v>
      </c>
      <c r="D8" s="2">
        <f>ROUNDUP(AVERAGE($B$4:B7),0)</f>
        <v>119</v>
      </c>
      <c r="E8" s="2">
        <f t="shared" ref="E8:E16" si="16">ROUNDUP(AVERAGE(B5:B7),0)</f>
        <v>119</v>
      </c>
      <c r="F8" s="2">
        <f t="shared" ref="F8:F16" si="17">ROUNDUP((B5*$F$20+B6*$F$22+B7*$F$24)/SUM($F$20,$F$22,$F$24),0)</f>
        <v>126</v>
      </c>
      <c r="G8" s="2">
        <f t="shared" ref="G8:G16" si="18">ROUNDUP($G$20*B7+(1-$G$20)*G7,0)</f>
        <v>119</v>
      </c>
      <c r="H8" s="2">
        <f t="shared" si="13"/>
        <v>144.32447999999999</v>
      </c>
      <c r="I8" s="2">
        <f t="shared" si="14"/>
        <v>7.7413759999999989</v>
      </c>
      <c r="J8" s="2">
        <f t="shared" si="15"/>
        <v>145</v>
      </c>
      <c r="K8" s="19" cm="1">
        <f t="array" ref="K8">TREND($B$4:$B$15,$A$4:$A$15,A8)</f>
        <v>119.62121212121214</v>
      </c>
      <c r="L8" s="2">
        <f t="shared" si="0"/>
        <v>118</v>
      </c>
      <c r="M8" s="19" cm="1">
        <f t="array" ref="M8">TREND($B$4:$B$15,LN($A$4:$A$15),LN(A8))</f>
        <v>118.15446260368238</v>
      </c>
      <c r="N8" s="19" cm="1">
        <f t="array" ref="N8">GROWTH($B$4:$B$15,$A$4:$A$15,A8)</f>
        <v>119.22167008373174</v>
      </c>
      <c r="O8" s="2">
        <f>ROUNDUP(_xlfn.FORECAST.ETS(A8,$B$4:B7,$A$4:A7,$O$20,0,7),0)</f>
        <v>112</v>
      </c>
      <c r="P8" s="2">
        <f>ROUNDUP(_xlfn.FORECAST.ETS(A8,$B$4:B7,$A$4:A7,$P$20,0,7),0)</f>
        <v>112</v>
      </c>
      <c r="Q8" s="2">
        <f t="shared" si="1"/>
        <v>529</v>
      </c>
      <c r="R8" s="2">
        <f t="shared" si="2"/>
        <v>529</v>
      </c>
      <c r="S8" s="2">
        <f t="shared" si="3"/>
        <v>529</v>
      </c>
      <c r="T8" s="2">
        <f t="shared" si="4"/>
        <v>256</v>
      </c>
      <c r="U8" s="2">
        <f t="shared" si="5"/>
        <v>529</v>
      </c>
      <c r="V8" s="2">
        <f t="shared" si="6"/>
        <v>9</v>
      </c>
      <c r="W8" s="2">
        <f t="shared" si="7"/>
        <v>500.8101469237825</v>
      </c>
      <c r="X8" s="19">
        <f t="shared" si="8"/>
        <v>576</v>
      </c>
      <c r="Y8" s="19">
        <f t="shared" si="9"/>
        <v>568.60965371918235</v>
      </c>
      <c r="Z8" s="19">
        <f t="shared" si="10"/>
        <v>518.85231377436173</v>
      </c>
      <c r="AA8" s="19">
        <f t="shared" si="11"/>
        <v>900</v>
      </c>
    </row>
    <row r="9" spans="1:28">
      <c r="A9" s="2">
        <v>6</v>
      </c>
      <c r="B9" s="2">
        <v>119</v>
      </c>
      <c r="C9" s="2">
        <f t="shared" si="12"/>
        <v>142</v>
      </c>
      <c r="D9" s="2">
        <f>ROUNDUP(AVERAGE($B$4:B8),0)</f>
        <v>124</v>
      </c>
      <c r="E9" s="2">
        <f t="shared" si="16"/>
        <v>123</v>
      </c>
      <c r="F9" s="2">
        <f t="shared" si="17"/>
        <v>122</v>
      </c>
      <c r="G9" s="2">
        <f t="shared" si="18"/>
        <v>127</v>
      </c>
      <c r="H9" s="2">
        <f t="shared" si="13"/>
        <v>145.45268480000001</v>
      </c>
      <c r="I9" s="2">
        <f t="shared" si="14"/>
        <v>6.4187417600000041</v>
      </c>
      <c r="J9" s="2">
        <f t="shared" si="15"/>
        <v>153</v>
      </c>
      <c r="K9" s="19" cm="1">
        <f t="array" ref="K9">TREND($B$4:$B$15,$A$4:$A$15,A9)</f>
        <v>118.4848484848485</v>
      </c>
      <c r="L9" s="2">
        <f t="shared" si="0"/>
        <v>118</v>
      </c>
      <c r="M9" s="19" cm="1">
        <f t="array" ref="M9">TREND($B$4:$B$15,LN($A$4:$A$15),LN(A9))</f>
        <v>117.38251136718739</v>
      </c>
      <c r="N9" s="19" cm="1">
        <f t="array" ref="N9">GROWTH($B$4:$B$15,$A$4:$A$15,A9)</f>
        <v>118.09148962905023</v>
      </c>
      <c r="O9" s="2">
        <f>ROUNDUP(_xlfn.FORECAST.ETS(A9,$B$4:B8,$A$4:A8,$O$20,0,7),0)</f>
        <v>142</v>
      </c>
      <c r="P9" s="2">
        <f>ROUNDUP(_xlfn.FORECAST.ETS(A9,$B$4:B8,$A$4:A8,$P$20,0,7),0)</f>
        <v>142</v>
      </c>
      <c r="Q9" s="2">
        <f t="shared" si="1"/>
        <v>529</v>
      </c>
      <c r="R9" s="2">
        <f t="shared" si="2"/>
        <v>25</v>
      </c>
      <c r="S9" s="2">
        <f t="shared" si="3"/>
        <v>16</v>
      </c>
      <c r="T9" s="2">
        <f t="shared" si="4"/>
        <v>9</v>
      </c>
      <c r="U9" s="2">
        <f t="shared" si="5"/>
        <v>64</v>
      </c>
      <c r="V9" s="2">
        <f t="shared" si="6"/>
        <v>1156</v>
      </c>
      <c r="W9" s="2">
        <f t="shared" si="7"/>
        <v>0.26538108356288753</v>
      </c>
      <c r="X9" s="19">
        <f t="shared" si="8"/>
        <v>1</v>
      </c>
      <c r="Y9" s="19">
        <f t="shared" si="9"/>
        <v>2.6162694772780037</v>
      </c>
      <c r="Z9" s="19">
        <f t="shared" si="10"/>
        <v>0.82539109412328904</v>
      </c>
      <c r="AA9" s="19">
        <f t="shared" si="11"/>
        <v>529</v>
      </c>
    </row>
    <row r="10" spans="1:28">
      <c r="A10" s="2">
        <v>7</v>
      </c>
      <c r="B10" s="2">
        <v>113</v>
      </c>
      <c r="C10" s="2">
        <f t="shared" si="12"/>
        <v>119</v>
      </c>
      <c r="D10" s="2">
        <f>ROUNDUP(AVERAGE($B$4:B9),0)</f>
        <v>123</v>
      </c>
      <c r="E10" s="2">
        <f t="shared" si="16"/>
        <v>127</v>
      </c>
      <c r="F10" s="2">
        <f t="shared" si="17"/>
        <v>119</v>
      </c>
      <c r="G10" s="2">
        <f t="shared" si="18"/>
        <v>125</v>
      </c>
      <c r="H10" s="2">
        <f t="shared" si="13"/>
        <v>144.09714124800004</v>
      </c>
      <c r="I10" s="2">
        <f t="shared" si="14"/>
        <v>4.8638846976000085</v>
      </c>
      <c r="J10" s="2">
        <f t="shared" si="15"/>
        <v>152</v>
      </c>
      <c r="K10" s="19" cm="1">
        <f t="array" ref="K10">TREND($B$4:$B$15,$A$4:$A$15,A10)</f>
        <v>117.34848484848486</v>
      </c>
      <c r="L10" s="2">
        <f t="shared" si="0"/>
        <v>117</v>
      </c>
      <c r="M10" s="19" cm="1">
        <f t="array" ref="M10">TREND($B$4:$B$15,LN($A$4:$A$15),LN(A10))</f>
        <v>116.7298358964877</v>
      </c>
      <c r="N10" s="19" cm="1">
        <f t="array" ref="N10">GROWTH($B$4:$B$15,$A$4:$A$15,A10)</f>
        <v>116.97202289662447</v>
      </c>
      <c r="O10" s="2">
        <f>ROUNDUP(_xlfn.FORECAST.ETS(A10,$B$4:B9,$A$4:A9,$O$20,0,7),0)</f>
        <v>128</v>
      </c>
      <c r="P10" s="2">
        <f>ROUNDUP(_xlfn.FORECAST.ETS(A10,$B$4:B9,$A$4:A9,$P$20,0,7),0)</f>
        <v>133</v>
      </c>
      <c r="Q10" s="2">
        <f t="shared" si="1"/>
        <v>36</v>
      </c>
      <c r="R10" s="2">
        <f t="shared" si="2"/>
        <v>100</v>
      </c>
      <c r="S10" s="2">
        <f t="shared" si="3"/>
        <v>196</v>
      </c>
      <c r="T10" s="2">
        <f t="shared" si="4"/>
        <v>36</v>
      </c>
      <c r="U10" s="2">
        <f t="shared" si="5"/>
        <v>144</v>
      </c>
      <c r="V10" s="2">
        <f t="shared" si="6"/>
        <v>1521</v>
      </c>
      <c r="W10" s="2">
        <f t="shared" si="7"/>
        <v>18.909320477502384</v>
      </c>
      <c r="X10" s="19">
        <f t="shared" si="8"/>
        <v>16</v>
      </c>
      <c r="Y10" s="19">
        <f t="shared" si="9"/>
        <v>13.911675814728202</v>
      </c>
      <c r="Z10" s="19">
        <f t="shared" si="10"/>
        <v>15.776965891309015</v>
      </c>
      <c r="AA10" s="19">
        <f t="shared" si="11"/>
        <v>225</v>
      </c>
    </row>
    <row r="11" spans="1:28">
      <c r="A11" s="2">
        <v>8</v>
      </c>
      <c r="B11" s="2">
        <v>123</v>
      </c>
      <c r="C11" s="2">
        <f t="shared" si="12"/>
        <v>113</v>
      </c>
      <c r="D11" s="2">
        <f>ROUNDUP(AVERAGE($B$4:B10),0)</f>
        <v>122</v>
      </c>
      <c r="E11" s="2">
        <f t="shared" si="16"/>
        <v>125</v>
      </c>
      <c r="F11" s="2">
        <f t="shared" si="17"/>
        <v>131</v>
      </c>
      <c r="G11" s="2">
        <f t="shared" si="18"/>
        <v>121</v>
      </c>
      <c r="H11" s="2">
        <f t="shared" si="13"/>
        <v>143.76882075648004</v>
      </c>
      <c r="I11" s="2">
        <f t="shared" si="14"/>
        <v>3.8254436597760066</v>
      </c>
      <c r="J11" s="2">
        <f t="shared" si="15"/>
        <v>149</v>
      </c>
      <c r="K11" s="19" cm="1">
        <f t="array" ref="K11">TREND($B$4:$B$15,$A$4:$A$15,A11)</f>
        <v>116.21212121212122</v>
      </c>
      <c r="L11" s="2">
        <f t="shared" si="0"/>
        <v>116</v>
      </c>
      <c r="M11" s="19" cm="1">
        <f t="array" ref="M11">TREND($B$4:$B$15,LN($A$4:$A$15),LN(A11))</f>
        <v>116.1644626874168</v>
      </c>
      <c r="N11" s="19" cm="1">
        <f t="array" ref="N11">GROWTH($B$4:$B$15,$A$4:$A$15,A11)</f>
        <v>115.86316832404991</v>
      </c>
      <c r="O11" s="2">
        <f>ROUNDUP(_xlfn.FORECAST.ETS(A11,$B$4:B10,$A$4:A10,$O$20,0,7),0)</f>
        <v>119</v>
      </c>
      <c r="P11" s="2">
        <f>ROUNDUP(_xlfn.FORECAST.ETS(A11,$B$4:B10,$A$4:A10,$P$20,0,7),0)</f>
        <v>146</v>
      </c>
      <c r="Q11" s="2">
        <f t="shared" si="1"/>
        <v>100</v>
      </c>
      <c r="R11" s="2">
        <f t="shared" si="2"/>
        <v>1</v>
      </c>
      <c r="S11" s="2">
        <f t="shared" si="3"/>
        <v>4</v>
      </c>
      <c r="T11" s="2">
        <f t="shared" si="4"/>
        <v>64</v>
      </c>
      <c r="U11" s="2">
        <f t="shared" si="5"/>
        <v>4</v>
      </c>
      <c r="V11" s="2">
        <f t="shared" si="6"/>
        <v>676</v>
      </c>
      <c r="W11" s="2">
        <f t="shared" si="7"/>
        <v>46.075298438934723</v>
      </c>
      <c r="X11" s="19">
        <f t="shared" si="8"/>
        <v>49</v>
      </c>
      <c r="Y11" s="19">
        <f t="shared" si="9"/>
        <v>46.724570351717141</v>
      </c>
      <c r="Z11" s="19">
        <f t="shared" si="10"/>
        <v>50.934366370844593</v>
      </c>
      <c r="AA11" s="19">
        <f t="shared" si="11"/>
        <v>16</v>
      </c>
    </row>
    <row r="12" spans="1:28">
      <c r="A12" s="2">
        <v>9</v>
      </c>
      <c r="B12" s="2">
        <v>113</v>
      </c>
      <c r="C12" s="2">
        <f t="shared" si="12"/>
        <v>123</v>
      </c>
      <c r="D12" s="2">
        <f>ROUNDUP(AVERAGE($B$4:B11),0)</f>
        <v>122</v>
      </c>
      <c r="E12" s="2">
        <f t="shared" si="16"/>
        <v>119</v>
      </c>
      <c r="F12" s="2">
        <f t="shared" si="17"/>
        <v>121</v>
      </c>
      <c r="G12" s="2">
        <f t="shared" si="18"/>
        <v>122</v>
      </c>
      <c r="H12" s="2">
        <f t="shared" si="13"/>
        <v>140.67541153300485</v>
      </c>
      <c r="I12" s="2">
        <f t="shared" si="14"/>
        <v>2.4416730831257669</v>
      </c>
      <c r="J12" s="2">
        <f t="shared" si="15"/>
        <v>148</v>
      </c>
      <c r="K12" s="19" cm="1">
        <f t="array" ref="K12">TREND($B$4:$B$15,$A$4:$A$15,A12)</f>
        <v>115.07575757575759</v>
      </c>
      <c r="L12" s="2">
        <f t="shared" si="0"/>
        <v>116</v>
      </c>
      <c r="M12" s="19" cm="1">
        <f t="array" ref="M12">TREND($B$4:$B$15,LN($A$4:$A$15),LN(A12))</f>
        <v>115.66576817420665</v>
      </c>
      <c r="N12" s="19" cm="1">
        <f t="array" ref="N12">GROWTH($B$4:$B$15,$A$4:$A$15,A12)</f>
        <v>114.76482531169864</v>
      </c>
      <c r="O12" s="2">
        <f>ROUNDUP(_xlfn.FORECAST.ETS(A12,$B$4:B11,$A$4:A11,$O$20,0,7),0)</f>
        <v>120</v>
      </c>
      <c r="P12" s="2">
        <f>ROUNDUP(_xlfn.FORECAST.ETS(A12,$B$4:B11,$A$4:A11,$P$20,0,7),0)</f>
        <v>112</v>
      </c>
      <c r="Q12" s="2">
        <f t="shared" si="1"/>
        <v>100</v>
      </c>
      <c r="R12" s="2">
        <f t="shared" si="2"/>
        <v>81</v>
      </c>
      <c r="S12" s="2">
        <f t="shared" si="3"/>
        <v>36</v>
      </c>
      <c r="T12" s="2">
        <f t="shared" si="4"/>
        <v>64</v>
      </c>
      <c r="U12" s="2">
        <f t="shared" si="5"/>
        <v>81</v>
      </c>
      <c r="V12" s="2">
        <f t="shared" si="6"/>
        <v>1225</v>
      </c>
      <c r="W12" s="2">
        <f t="shared" si="7"/>
        <v>4.3087695133150357</v>
      </c>
      <c r="X12" s="19">
        <f t="shared" si="8"/>
        <v>9</v>
      </c>
      <c r="Y12" s="19">
        <f t="shared" si="9"/>
        <v>7.1063199586130414</v>
      </c>
      <c r="Z12" s="19">
        <f t="shared" si="10"/>
        <v>3.1146083808122156</v>
      </c>
      <c r="AA12" s="19">
        <f t="shared" si="11"/>
        <v>49</v>
      </c>
    </row>
    <row r="13" spans="1:28">
      <c r="A13" s="2">
        <v>10</v>
      </c>
      <c r="B13" s="2">
        <v>105</v>
      </c>
      <c r="C13" s="2">
        <f t="shared" si="12"/>
        <v>113</v>
      </c>
      <c r="D13" s="2">
        <f>ROUNDUP(AVERAGE($B$4:B12),0)</f>
        <v>121</v>
      </c>
      <c r="E13" s="2">
        <f t="shared" si="16"/>
        <v>117</v>
      </c>
      <c r="F13" s="2">
        <f t="shared" si="17"/>
        <v>113</v>
      </c>
      <c r="G13" s="2">
        <f t="shared" si="18"/>
        <v>119</v>
      </c>
      <c r="H13" s="2">
        <f t="shared" si="13"/>
        <v>135.49366769290452</v>
      </c>
      <c r="I13" s="2">
        <f t="shared" si="14"/>
        <v>0.91698969848054879</v>
      </c>
      <c r="J13" s="2">
        <f t="shared" si="15"/>
        <v>144</v>
      </c>
      <c r="K13" s="19" cm="1">
        <f t="array" ref="K13">TREND($B$4:$B$15,$A$4:$A$15,A13)</f>
        <v>113.93939393939395</v>
      </c>
      <c r="L13" s="2">
        <f t="shared" si="0"/>
        <v>115</v>
      </c>
      <c r="M13" s="19" cm="1">
        <f t="array" ref="M13">TREND($B$4:$B$15,LN($A$4:$A$15),LN(A13))</f>
        <v>115.21967073093106</v>
      </c>
      <c r="N13" s="19" cm="1">
        <f t="array" ref="N13">GROWTH($B$4:$B$15,$A$4:$A$15,A13)</f>
        <v>113.6768942135927</v>
      </c>
      <c r="O13" s="2">
        <f>ROUNDUP(_xlfn.FORECAST.ETS(A13,$B$4:B12,$A$4:A12,$O$20,0,7),0)</f>
        <v>114</v>
      </c>
      <c r="P13" s="2">
        <f>ROUNDUP(_xlfn.FORECAST.ETS(A13,$B$4:B12,$A$4:A12,$P$20,0,7),0)</f>
        <v>114</v>
      </c>
      <c r="Q13" s="2">
        <f t="shared" si="1"/>
        <v>64</v>
      </c>
      <c r="R13" s="2">
        <f t="shared" si="2"/>
        <v>256</v>
      </c>
      <c r="S13" s="2">
        <f t="shared" si="3"/>
        <v>144</v>
      </c>
      <c r="T13" s="2">
        <f t="shared" si="4"/>
        <v>64</v>
      </c>
      <c r="U13" s="2">
        <f t="shared" si="5"/>
        <v>196</v>
      </c>
      <c r="V13" s="2">
        <f t="shared" si="6"/>
        <v>1521</v>
      </c>
      <c r="W13" s="2">
        <f t="shared" si="7"/>
        <v>79.912764003673317</v>
      </c>
      <c r="X13" s="19">
        <f t="shared" si="8"/>
        <v>100</v>
      </c>
      <c r="Y13" s="19">
        <f t="shared" si="9"/>
        <v>104.44166984864893</v>
      </c>
      <c r="Z13" s="19">
        <f t="shared" si="10"/>
        <v>75.288493193878537</v>
      </c>
      <c r="AA13" s="19">
        <f t="shared" si="11"/>
        <v>81</v>
      </c>
    </row>
    <row r="14" spans="1:28">
      <c r="A14" s="2">
        <v>11</v>
      </c>
      <c r="B14" s="2">
        <v>108</v>
      </c>
      <c r="C14" s="2">
        <f t="shared" si="12"/>
        <v>105</v>
      </c>
      <c r="D14" s="2">
        <f>ROUNDUP(AVERAGE($B$4:B13),0)</f>
        <v>119</v>
      </c>
      <c r="E14" s="2">
        <f t="shared" si="16"/>
        <v>114</v>
      </c>
      <c r="F14" s="2">
        <f t="shared" si="17"/>
        <v>116</v>
      </c>
      <c r="G14" s="2">
        <f t="shared" si="18"/>
        <v>115</v>
      </c>
      <c r="H14" s="2">
        <f t="shared" si="13"/>
        <v>130.72852591310806</v>
      </c>
      <c r="I14" s="2">
        <f t="shared" si="14"/>
        <v>-0.21943659717485409</v>
      </c>
      <c r="J14" s="2">
        <f t="shared" si="15"/>
        <v>137</v>
      </c>
      <c r="K14" s="19" cm="1">
        <f t="array" ref="K14">TREND($B$4:$B$15,$A$4:$A$15,A14)</f>
        <v>112.80303030303031</v>
      </c>
      <c r="L14" s="2">
        <f t="shared" si="0"/>
        <v>115</v>
      </c>
      <c r="M14" s="19" cm="1">
        <f t="array" ref="M14">TREND($B$4:$B$15,LN($A$4:$A$15),LN(A14))</f>
        <v>114.81612650695509</v>
      </c>
      <c r="N14" s="19" cm="1">
        <f t="array" ref="N14">GROWTH($B$4:$B$15,$A$4:$A$15,A14)</f>
        <v>112.59927632836371</v>
      </c>
      <c r="O14" s="2">
        <f>ROUNDUP(_xlfn.FORECAST.ETS(A14,$B$4:B13,$A$4:A13,$O$20,0,7),0)</f>
        <v>126</v>
      </c>
      <c r="P14" s="2">
        <f>ROUNDUP(_xlfn.FORECAST.ETS(A14,$B$4:B13,$A$4:A13,$P$20,0,7),0)</f>
        <v>126</v>
      </c>
      <c r="Q14" s="2">
        <f t="shared" si="1"/>
        <v>9</v>
      </c>
      <c r="R14" s="2">
        <f t="shared" si="2"/>
        <v>121</v>
      </c>
      <c r="S14" s="2">
        <f t="shared" si="3"/>
        <v>36</v>
      </c>
      <c r="T14" s="2">
        <f t="shared" si="4"/>
        <v>64</v>
      </c>
      <c r="U14" s="2">
        <f t="shared" si="5"/>
        <v>49</v>
      </c>
      <c r="V14" s="2">
        <f t="shared" si="6"/>
        <v>841</v>
      </c>
      <c r="W14" s="2">
        <f t="shared" si="7"/>
        <v>23.069100091827448</v>
      </c>
      <c r="X14" s="19">
        <f t="shared" si="8"/>
        <v>49</v>
      </c>
      <c r="Y14" s="19">
        <f t="shared" si="9"/>
        <v>46.459580558815752</v>
      </c>
      <c r="Z14" s="19">
        <f t="shared" si="10"/>
        <v>21.15334274464681</v>
      </c>
      <c r="AA14" s="19">
        <f t="shared" si="11"/>
        <v>324</v>
      </c>
    </row>
    <row r="15" spans="1:28">
      <c r="A15" s="2">
        <v>12</v>
      </c>
      <c r="B15" s="2">
        <v>117</v>
      </c>
      <c r="C15" s="2">
        <f t="shared" si="12"/>
        <v>108</v>
      </c>
      <c r="D15" s="2">
        <f>ROUNDUP(AVERAGE($B$4:B14),0)</f>
        <v>118</v>
      </c>
      <c r="E15" s="2">
        <f t="shared" si="16"/>
        <v>109</v>
      </c>
      <c r="F15" s="2">
        <f t="shared" si="17"/>
        <v>112</v>
      </c>
      <c r="G15" s="2">
        <f t="shared" si="18"/>
        <v>113</v>
      </c>
      <c r="H15" s="2">
        <f t="shared" si="13"/>
        <v>127.80727145274658</v>
      </c>
      <c r="I15" s="2">
        <f t="shared" si="14"/>
        <v>-0.75980016981217957</v>
      </c>
      <c r="J15" s="2">
        <f t="shared" si="15"/>
        <v>131</v>
      </c>
      <c r="K15" s="19" cm="1">
        <f t="array" ref="K15">TREND($B$4:$B$15,$A$4:$A$15,A15)</f>
        <v>111.66666666666669</v>
      </c>
      <c r="L15" s="2">
        <f t="shared" si="0"/>
        <v>115</v>
      </c>
      <c r="M15" s="19" cm="1">
        <f t="array" ref="M15">TREND($B$4:$B$15,LN($A$4:$A$15),LN(A15))</f>
        <v>114.44771949443607</v>
      </c>
      <c r="N15" s="19" cm="1">
        <f t="array" ref="N15">GROWTH($B$4:$B$15,$A$4:$A$15,A15)</f>
        <v>111.53187389029836</v>
      </c>
      <c r="O15" s="2">
        <f>ROUNDUP(_xlfn.FORECAST.ETS(A15,$B$4:B14,$A$4:A14,$O$20,0,7),0)</f>
        <v>109</v>
      </c>
      <c r="P15" s="2">
        <f>ROUNDUP(_xlfn.FORECAST.ETS(A15,$B$4:B14,$A$4:A14,$P$20,0,7),0)</f>
        <v>84</v>
      </c>
      <c r="Q15" s="2">
        <f t="shared" si="1"/>
        <v>81</v>
      </c>
      <c r="R15" s="2">
        <f t="shared" si="2"/>
        <v>1</v>
      </c>
      <c r="S15" s="2">
        <f t="shared" si="3"/>
        <v>64</v>
      </c>
      <c r="T15" s="2">
        <f t="shared" si="4"/>
        <v>25</v>
      </c>
      <c r="U15" s="2">
        <f t="shared" si="5"/>
        <v>16</v>
      </c>
      <c r="V15" s="2">
        <f t="shared" si="6"/>
        <v>196</v>
      </c>
      <c r="W15" s="2">
        <f t="shared" si="7"/>
        <v>28.444444444444244</v>
      </c>
      <c r="X15" s="19">
        <f t="shared" si="8"/>
        <v>4</v>
      </c>
      <c r="Y15" s="19">
        <f t="shared" si="9"/>
        <v>6.514135779081661</v>
      </c>
      <c r="Z15" s="19">
        <f t="shared" si="10"/>
        <v>29.900403151600827</v>
      </c>
      <c r="AA15" s="19">
        <f t="shared" si="11"/>
        <v>64</v>
      </c>
    </row>
    <row r="16" spans="1:28">
      <c r="A16" s="3">
        <v>13</v>
      </c>
      <c r="B16" s="3"/>
      <c r="C16" s="3">
        <f t="shared" si="12"/>
        <v>117</v>
      </c>
      <c r="D16" s="3">
        <f>ROUNDUP(AVERAGE($B$4:B15),0)</f>
        <v>118</v>
      </c>
      <c r="E16" s="3">
        <f t="shared" si="16"/>
        <v>110</v>
      </c>
      <c r="F16" s="3">
        <f t="shared" si="17"/>
        <v>110</v>
      </c>
      <c r="G16" s="3">
        <f t="shared" si="18"/>
        <v>115</v>
      </c>
      <c r="H16" s="3"/>
      <c r="I16" s="3"/>
      <c r="J16" s="3">
        <f t="shared" si="15"/>
        <v>128</v>
      </c>
      <c r="K16" s="161" cm="1">
        <f t="array" ref="K16">TREND($B$4:$B$15,$A$4:$A$15,A16)</f>
        <v>110.53030303030305</v>
      </c>
      <c r="L16" s="3">
        <f t="shared" si="0"/>
        <v>114</v>
      </c>
      <c r="M16" s="20" cm="1">
        <f t="array" ref="M16">TREND($B$4:$B$15,LN($A$4:$A$15),LN(A16))</f>
        <v>114.10881789526411</v>
      </c>
      <c r="N16" s="20" cm="1">
        <f t="array" ref="N16">GROWTH($B$4:$B$15,$A$4:$A$15,A16)</f>
        <v>110.47459006046869</v>
      </c>
      <c r="O16" s="3">
        <f>ROUNDUP(_xlfn.FORECAST.ETS(A16,$B$4:B15,$A$4:A15,$O$20,0,7),0)</f>
        <v>110</v>
      </c>
      <c r="P16" s="3">
        <f>ROUNDUP(_xlfn.FORECAST.ETS(A16,$B$4:B15,$A$4:A15,$P$20,0,7),0)</f>
        <v>106</v>
      </c>
      <c r="Q16" s="8">
        <f>SQRT(AVERAGE(Q7:Q15))</f>
        <v>13.203534880225574</v>
      </c>
      <c r="R16" s="8">
        <f t="shared" ref="R16:V16" si="19">SQRT(AVERAGE(R7:R15))</f>
        <v>11.125546178852424</v>
      </c>
      <c r="S16" s="8">
        <f t="shared" si="19"/>
        <v>10.671873729054747</v>
      </c>
      <c r="T16" s="8">
        <f t="shared" si="19"/>
        <v>8.1513461737583217</v>
      </c>
      <c r="U16" s="8">
        <f t="shared" si="19"/>
        <v>10.969655114602888</v>
      </c>
      <c r="V16" s="8">
        <f t="shared" si="19"/>
        <v>29.200456617434369</v>
      </c>
      <c r="W16" s="8">
        <f t="shared" ref="W16:X16" si="20">SQRT(AVERAGE(W7:W15))</f>
        <v>8.8498857338553023</v>
      </c>
      <c r="X16" s="8">
        <f t="shared" si="20"/>
        <v>9.4516312525052157</v>
      </c>
      <c r="Y16" s="8">
        <f t="shared" ref="Y16" si="21">SQRT(AVERAGE(Y7:Y15))</f>
        <v>9.4068162460100027</v>
      </c>
      <c r="Z16" s="8">
        <f t="shared" ref="Z16" si="22">SQRT(AVERAGE(Z7:Z15))</f>
        <v>8.9299915726969576</v>
      </c>
      <c r="AA16" s="8">
        <f t="shared" ref="AA16" si="23">SQRT(AVERAGE(AA7:AA15))</f>
        <v>16.096928623532847</v>
      </c>
      <c r="AB16" s="8" t="s">
        <v>5</v>
      </c>
    </row>
    <row r="17" spans="1:28">
      <c r="A17" s="7"/>
      <c r="B17" s="7"/>
      <c r="C17" s="7"/>
      <c r="D17" s="7"/>
      <c r="E17" s="1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17">
        <f>Q16/AVERAGE($B$4:$B$15)</f>
        <v>0.11197344068035822</v>
      </c>
      <c r="R17" s="17">
        <f t="shared" ref="R17:V17" si="24">R16/AVERAGE($B$4:$B$15)</f>
        <v>9.435092165811243E-2</v>
      </c>
      <c r="S17" s="17">
        <f t="shared" si="24"/>
        <v>9.0503522790570293E-2</v>
      </c>
      <c r="T17" s="17">
        <f t="shared" si="24"/>
        <v>6.912802408840979E-2</v>
      </c>
      <c r="U17" s="17">
        <f t="shared" si="24"/>
        <v>9.3028877296985626E-2</v>
      </c>
      <c r="V17" s="17">
        <f t="shared" si="24"/>
        <v>0.24763638120792397</v>
      </c>
      <c r="W17" s="17">
        <f t="shared" ref="W17:X17" si="25">W16/AVERAGE($B$4:$B$15)</f>
        <v>7.5052034492059091E-2</v>
      </c>
      <c r="X17" s="17">
        <f t="shared" si="25"/>
        <v>8.0155176699690869E-2</v>
      </c>
      <c r="Y17" s="17">
        <f t="shared" ref="Y17" si="26">Y16/AVERAGE($B$4:$B$15)</f>
        <v>7.9775120107505315E-2</v>
      </c>
      <c r="Z17" s="17">
        <f t="shared" ref="Z17" si="27">Z16/AVERAGE($B$4:$B$15)</f>
        <v>7.5731377294956534E-2</v>
      </c>
      <c r="AA17" s="17">
        <f t="shared" ref="AA17" si="28">AA16/AVERAGE($B$4:$B$15)</f>
        <v>0.1365110554645895</v>
      </c>
      <c r="AB17" t="s">
        <v>75</v>
      </c>
    </row>
    <row r="18" spans="1:28">
      <c r="D18" s="173" t="s">
        <v>72</v>
      </c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0"/>
    </row>
    <row r="19" spans="1:28" ht="14.45" customHeight="1">
      <c r="F19" s="4" t="s">
        <v>0</v>
      </c>
      <c r="G19" s="4" t="s">
        <v>3</v>
      </c>
      <c r="H19" s="4" t="s">
        <v>3</v>
      </c>
      <c r="I19" s="4" t="s">
        <v>4</v>
      </c>
      <c r="J19" s="1"/>
      <c r="K19" s="4" t="s">
        <v>3</v>
      </c>
      <c r="L19" s="4" t="s">
        <v>3</v>
      </c>
      <c r="M19" s="4"/>
      <c r="N19" s="4"/>
      <c r="O19" s="4" t="s">
        <v>3</v>
      </c>
      <c r="P19" s="4" t="s">
        <v>3</v>
      </c>
      <c r="Q19" s="10"/>
      <c r="S19" s="9"/>
      <c r="T19" s="9"/>
      <c r="U19" s="9"/>
      <c r="V19" s="9"/>
      <c r="W19" s="9"/>
      <c r="X19" s="9"/>
      <c r="Y19" s="9"/>
      <c r="Z19" s="9"/>
      <c r="AA19" s="9"/>
    </row>
    <row r="20" spans="1:28" ht="14.45" customHeight="1">
      <c r="F20" s="2">
        <v>0.85393922605189632</v>
      </c>
      <c r="G20" s="2">
        <v>0.34525127678422785</v>
      </c>
      <c r="H20" s="2">
        <v>0.2</v>
      </c>
      <c r="I20" s="2">
        <v>0.2</v>
      </c>
      <c r="J20" s="1"/>
      <c r="K20" s="22">
        <f>INDEX(LINEST(B4:B15,A4:A15),1,1)</f>
        <v>-1.1363636363636358</v>
      </c>
      <c r="L20" s="2">
        <v>124.8</v>
      </c>
      <c r="M20" s="2"/>
      <c r="N20" s="2"/>
      <c r="O20" s="2">
        <v>1</v>
      </c>
      <c r="P20" s="2">
        <v>3</v>
      </c>
      <c r="Q20" s="1"/>
      <c r="S20" s="9"/>
      <c r="T20" s="9"/>
      <c r="U20" s="9"/>
      <c r="V20" s="9"/>
      <c r="W20" s="9"/>
      <c r="X20" s="9"/>
      <c r="Y20" s="9"/>
      <c r="Z20" s="9"/>
      <c r="AA20" s="9"/>
    </row>
    <row r="21" spans="1:28" ht="14.45" customHeight="1">
      <c r="F21" s="4" t="s">
        <v>1</v>
      </c>
      <c r="G21" s="1"/>
      <c r="H21" s="1"/>
      <c r="I21" s="1"/>
      <c r="J21" s="1"/>
      <c r="K21" s="4" t="s">
        <v>4</v>
      </c>
      <c r="L21" s="4" t="s">
        <v>4</v>
      </c>
      <c r="M21" s="18"/>
      <c r="N21" s="18"/>
      <c r="O21" s="1"/>
      <c r="P21" s="1"/>
      <c r="Q21" s="10"/>
      <c r="S21" s="9"/>
      <c r="T21" s="9"/>
      <c r="U21" s="9"/>
      <c r="V21" s="9"/>
      <c r="W21" s="9"/>
      <c r="X21" s="9"/>
      <c r="Y21" s="9"/>
      <c r="Z21" s="9"/>
      <c r="AA21" s="9"/>
    </row>
    <row r="22" spans="1:28" ht="14.45" customHeight="1">
      <c r="F22" s="2">
        <v>0</v>
      </c>
      <c r="G22" s="1"/>
      <c r="H22" s="1"/>
      <c r="I22" s="1"/>
      <c r="J22" s="1"/>
      <c r="K22" s="21">
        <f>INDEX(LINEST(B4:B15,A4:A15),1,2)</f>
        <v>125.30303030303031</v>
      </c>
      <c r="L22" s="2">
        <v>-3.5999999999999997E-2</v>
      </c>
      <c r="M22" s="1"/>
      <c r="N22" s="1"/>
      <c r="O22" s="1">
        <v>1</v>
      </c>
      <c r="P22" s="1">
        <f>_xlfn.FORECAST.ETS.STAT($B$4:$B$15,$A$4:$A$15,O22,$O$20,0,7)</f>
        <v>0.1</v>
      </c>
      <c r="Q22" s="15" t="s">
        <v>39</v>
      </c>
      <c r="S22" s="9"/>
      <c r="T22" s="9"/>
      <c r="U22" s="9"/>
      <c r="V22" s="9"/>
      <c r="W22" s="9"/>
      <c r="X22" s="9"/>
      <c r="Y22" s="9"/>
      <c r="Z22" s="9"/>
      <c r="AA22" s="9"/>
    </row>
    <row r="23" spans="1:28" ht="16.149999999999999" customHeight="1">
      <c r="F23" s="4" t="s">
        <v>2</v>
      </c>
      <c r="G23" s="1"/>
      <c r="H23" s="1"/>
      <c r="I23" s="1"/>
      <c r="J23" s="1"/>
      <c r="K23" s="4" t="s">
        <v>7</v>
      </c>
      <c r="L23" s="4" t="s">
        <v>7</v>
      </c>
      <c r="M23" s="18"/>
      <c r="N23" s="18"/>
      <c r="O23" s="1">
        <v>2</v>
      </c>
      <c r="P23" s="1">
        <f>_xlfn.FORECAST.ETS.STAT($B$4:$B$15,$A$4:$A$15,O23,$O$20,0,7)</f>
        <v>1E-3</v>
      </c>
      <c r="Q23" s="16" t="s">
        <v>11</v>
      </c>
      <c r="S23" s="9"/>
      <c r="T23" s="9"/>
      <c r="U23" s="9"/>
      <c r="V23" s="9"/>
      <c r="W23" s="9"/>
      <c r="X23" s="9"/>
      <c r="Y23" s="9"/>
      <c r="Z23" s="9"/>
      <c r="AA23" s="9"/>
    </row>
    <row r="24" spans="1:28" ht="14.45" customHeight="1">
      <c r="F24" s="2">
        <v>0.55934296778998283</v>
      </c>
      <c r="G24" s="1"/>
      <c r="H24" s="1"/>
      <c r="I24" s="1"/>
      <c r="J24" s="1"/>
      <c r="K24" s="2">
        <v>0.1613</v>
      </c>
      <c r="L24" s="2">
        <v>9.5799999999999996E-2</v>
      </c>
      <c r="M24" s="1"/>
      <c r="N24" s="1"/>
      <c r="O24" s="1">
        <v>3</v>
      </c>
      <c r="P24" s="1">
        <f>_xlfn.FORECAST.ETS.STAT($B$4:$B$15,$A$4:$A$15,O24,$O$20,0,7)</f>
        <v>2.2204460492503131E-16</v>
      </c>
      <c r="Q24" s="15" t="s">
        <v>12</v>
      </c>
      <c r="S24" s="9"/>
      <c r="T24" s="9"/>
      <c r="U24" s="9"/>
      <c r="V24" s="9"/>
      <c r="W24" s="9"/>
      <c r="X24" s="9"/>
      <c r="Y24" s="9"/>
      <c r="Z24" s="9"/>
      <c r="AA24" s="9"/>
    </row>
    <row r="25" spans="1:28">
      <c r="O25" s="4" t="s">
        <v>14</v>
      </c>
      <c r="P25">
        <f>MIN(P28:P77)</f>
        <v>5.6378770665523268</v>
      </c>
    </row>
    <row r="26" spans="1:28" ht="30">
      <c r="O26" s="163" t="s">
        <v>73</v>
      </c>
      <c r="P26" s="164">
        <f>MATCH(P25,P28:P77,0)</f>
        <v>1</v>
      </c>
    </row>
    <row r="27" spans="1:28" ht="30">
      <c r="O27" s="163" t="s">
        <v>73</v>
      </c>
      <c r="P27" s="163" t="s">
        <v>13</v>
      </c>
    </row>
    <row r="28" spans="1:28">
      <c r="O28" s="162">
        <v>1</v>
      </c>
      <c r="P28" s="162">
        <f>_xlfn.FORECAST.ETS.STAT($B$4:$B$15,$A$4:$A$15,7,O28,0,7)</f>
        <v>5.6378770665523268</v>
      </c>
    </row>
    <row r="29" spans="1:28" ht="26.25">
      <c r="A29" s="174" t="s">
        <v>74</v>
      </c>
      <c r="B29" s="174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5"/>
      <c r="O29" s="162">
        <v>2</v>
      </c>
      <c r="P29" s="162">
        <f>_xlfn.FORECAST.ETS.STAT($B$4:$B$15,$A$4:$A$15,7,O29,0,7)</f>
        <v>5.9284217955424934</v>
      </c>
    </row>
    <row r="30" spans="1:28">
      <c r="A30" s="165"/>
      <c r="B30" s="165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2">
        <v>3</v>
      </c>
      <c r="P30" s="162">
        <f t="shared" ref="P30:P52" si="29">_xlfn.FORECAST.ETS.STAT($B$4:$B$15,$A$4:$A$15,7,O30,0,7)</f>
        <v>10.60869514823503</v>
      </c>
    </row>
    <row r="31" spans="1:28">
      <c r="A31" s="165"/>
      <c r="B31" s="165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2">
        <v>4</v>
      </c>
      <c r="P31" s="162">
        <f t="shared" si="29"/>
        <v>15.466339837682421</v>
      </c>
    </row>
    <row r="32" spans="1:28">
      <c r="A32" s="165"/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2">
        <v>5</v>
      </c>
      <c r="P32" s="162">
        <f t="shared" si="29"/>
        <v>14.965017938303921</v>
      </c>
    </row>
    <row r="33" spans="1:16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2">
        <v>6</v>
      </c>
      <c r="P33" s="162">
        <f t="shared" si="29"/>
        <v>8.854723195336577</v>
      </c>
    </row>
    <row r="34" spans="1:16">
      <c r="A34" s="165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2">
        <v>7</v>
      </c>
      <c r="P34" s="162">
        <f t="shared" si="29"/>
        <v>6.2115391802894671</v>
      </c>
    </row>
    <row r="35" spans="1:16">
      <c r="A35" s="165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2">
        <v>8</v>
      </c>
      <c r="P35" s="162">
        <f t="shared" si="29"/>
        <v>5.6378770665523268</v>
      </c>
    </row>
    <row r="36" spans="1:16">
      <c r="A36" s="165"/>
      <c r="B36" s="165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2">
        <v>9</v>
      </c>
      <c r="P36" s="162">
        <f t="shared" si="29"/>
        <v>5.6378770665523268</v>
      </c>
    </row>
    <row r="37" spans="1:16">
      <c r="A37" s="165"/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2">
        <v>10</v>
      </c>
      <c r="P37" s="162">
        <f t="shared" si="29"/>
        <v>5.6378770665523268</v>
      </c>
    </row>
    <row r="38" spans="1:16">
      <c r="A38" s="165"/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2">
        <v>11</v>
      </c>
      <c r="P38" s="162">
        <f t="shared" si="29"/>
        <v>5.6378770665523268</v>
      </c>
    </row>
    <row r="39" spans="1:16">
      <c r="A39" s="165"/>
      <c r="B39" s="165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2">
        <v>12</v>
      </c>
      <c r="P39" s="162">
        <f t="shared" si="29"/>
        <v>5.6378770665523268</v>
      </c>
    </row>
    <row r="40" spans="1:16">
      <c r="A40" s="165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2">
        <v>13</v>
      </c>
      <c r="P40" s="162">
        <f t="shared" si="29"/>
        <v>5.6378770665523268</v>
      </c>
    </row>
    <row r="41" spans="1:16">
      <c r="A41" s="165"/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2">
        <v>14</v>
      </c>
      <c r="P41" s="162">
        <f t="shared" si="29"/>
        <v>5.6378770665523268</v>
      </c>
    </row>
    <row r="42" spans="1:16">
      <c r="A42" s="165"/>
      <c r="B42" s="165"/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2">
        <v>15</v>
      </c>
      <c r="P42" s="162">
        <f t="shared" si="29"/>
        <v>5.6378770665523268</v>
      </c>
    </row>
    <row r="43" spans="1:16">
      <c r="A43" s="165"/>
      <c r="B43" s="165"/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2">
        <v>16</v>
      </c>
      <c r="P43" s="162">
        <f t="shared" si="29"/>
        <v>5.6378770665523268</v>
      </c>
    </row>
    <row r="44" spans="1:16">
      <c r="A44" s="165"/>
      <c r="B44" s="165"/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2">
        <v>17</v>
      </c>
      <c r="P44" s="162">
        <f t="shared" si="29"/>
        <v>5.6378770665523268</v>
      </c>
    </row>
    <row r="45" spans="1:16">
      <c r="A45" s="165"/>
      <c r="B45" s="165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2">
        <v>18</v>
      </c>
      <c r="P45" s="162">
        <f t="shared" si="29"/>
        <v>5.6378770665523268</v>
      </c>
    </row>
    <row r="46" spans="1:16">
      <c r="A46" s="165"/>
      <c r="B46" s="165"/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2">
        <v>19</v>
      </c>
      <c r="P46" s="162">
        <f t="shared" si="29"/>
        <v>5.6378770665523268</v>
      </c>
    </row>
    <row r="47" spans="1:16">
      <c r="A47" s="165"/>
      <c r="B47" s="165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2">
        <v>20</v>
      </c>
      <c r="P47" s="162">
        <f t="shared" si="29"/>
        <v>5.6378770665523268</v>
      </c>
    </row>
    <row r="48" spans="1:16">
      <c r="A48" s="165"/>
      <c r="B48" s="165"/>
      <c r="C48" s="165"/>
      <c r="D48" s="165"/>
      <c r="E48" s="165"/>
      <c r="F48" s="165"/>
      <c r="G48" s="165"/>
      <c r="H48" s="165"/>
      <c r="I48" s="165"/>
      <c r="J48" s="165"/>
      <c r="K48" s="165"/>
      <c r="L48" s="165"/>
      <c r="M48" s="165"/>
      <c r="N48" s="165"/>
      <c r="O48" s="162">
        <v>21</v>
      </c>
      <c r="P48" s="162">
        <f t="shared" si="29"/>
        <v>5.6378770665523268</v>
      </c>
    </row>
    <row r="49" spans="1:16">
      <c r="A49" s="165"/>
      <c r="B49" s="165"/>
      <c r="C49" s="165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2">
        <v>22</v>
      </c>
      <c r="P49" s="162">
        <f t="shared" si="29"/>
        <v>5.6378770665523268</v>
      </c>
    </row>
    <row r="50" spans="1:16">
      <c r="A50" s="165"/>
      <c r="B50" s="165"/>
      <c r="C50" s="165"/>
      <c r="D50" s="165"/>
      <c r="E50" s="165"/>
      <c r="F50" s="165"/>
      <c r="G50" s="165"/>
      <c r="H50" s="165"/>
      <c r="I50" s="165"/>
      <c r="J50" s="165"/>
      <c r="K50" s="165"/>
      <c r="L50" s="165"/>
      <c r="M50" s="165"/>
      <c r="N50" s="165"/>
      <c r="O50" s="162">
        <v>23</v>
      </c>
      <c r="P50" s="162">
        <f t="shared" si="29"/>
        <v>5.6378770665523268</v>
      </c>
    </row>
    <row r="51" spans="1:16">
      <c r="A51" s="165"/>
      <c r="B51" s="165"/>
      <c r="C51" s="165"/>
      <c r="D51" s="165"/>
      <c r="E51" s="165"/>
      <c r="F51" s="165"/>
      <c r="G51" s="165"/>
      <c r="H51" s="165"/>
      <c r="I51" s="165"/>
      <c r="J51" s="165"/>
      <c r="K51" s="165"/>
      <c r="L51" s="165"/>
      <c r="M51" s="165"/>
      <c r="N51" s="165"/>
      <c r="O51" s="162">
        <v>24</v>
      </c>
      <c r="P51" s="162">
        <f t="shared" si="29"/>
        <v>5.6378770665523268</v>
      </c>
    </row>
    <row r="52" spans="1:16">
      <c r="A52" s="165"/>
      <c r="B52" s="165"/>
      <c r="C52" s="165"/>
      <c r="D52" s="165"/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2">
        <v>25</v>
      </c>
      <c r="P52" s="162">
        <f t="shared" si="29"/>
        <v>5.6378770665523268</v>
      </c>
    </row>
    <row r="53" spans="1:16">
      <c r="A53" s="165"/>
      <c r="B53" s="165"/>
      <c r="C53" s="165"/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</row>
    <row r="54" spans="1:16">
      <c r="A54" s="165"/>
      <c r="B54" s="165"/>
      <c r="C54" s="165"/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</row>
    <row r="55" spans="1:16">
      <c r="A55" s="165"/>
      <c r="B55" s="165"/>
      <c r="C55" s="165"/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</row>
    <row r="56" spans="1:16">
      <c r="A56" s="165"/>
      <c r="B56" s="165"/>
      <c r="C56" s="165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</row>
    <row r="57" spans="1:16">
      <c r="A57" s="165"/>
      <c r="B57" s="165"/>
      <c r="C57" s="165"/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</row>
    <row r="58" spans="1:16">
      <c r="A58" s="165"/>
      <c r="B58" s="165"/>
      <c r="C58" s="165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</row>
    <row r="59" spans="1:16">
      <c r="A59" s="165"/>
      <c r="B59" s="165"/>
      <c r="C59" s="165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</row>
    <row r="60" spans="1:16">
      <c r="A60" s="165"/>
      <c r="B60" s="165"/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</row>
    <row r="61" spans="1:16">
      <c r="A61" s="165"/>
      <c r="B61" s="165"/>
      <c r="C61" s="165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</row>
    <row r="62" spans="1:16">
      <c r="A62" s="165"/>
      <c r="B62" s="165"/>
      <c r="C62" s="165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</row>
    <row r="63" spans="1:16">
      <c r="A63" s="165"/>
      <c r="B63" s="165"/>
      <c r="C63" s="165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</row>
    <row r="64" spans="1:16">
      <c r="A64" s="165"/>
      <c r="B64" s="165"/>
      <c r="C64" s="165"/>
      <c r="D64" s="165"/>
      <c r="E64" s="165"/>
      <c r="F64" s="165"/>
      <c r="G64" s="165"/>
      <c r="H64" s="165"/>
      <c r="I64" s="165"/>
      <c r="J64" s="165"/>
      <c r="K64" s="165"/>
      <c r="L64" s="165"/>
      <c r="M64" s="165"/>
      <c r="N64" s="165"/>
    </row>
    <row r="65" spans="1:14">
      <c r="A65" s="165"/>
      <c r="B65" s="165"/>
      <c r="C65" s="165"/>
      <c r="D65" s="165"/>
      <c r="E65" s="165"/>
      <c r="F65" s="165"/>
      <c r="G65" s="165"/>
      <c r="H65" s="165"/>
      <c r="I65" s="165"/>
      <c r="J65" s="165"/>
      <c r="K65" s="165"/>
      <c r="L65" s="165"/>
      <c r="M65" s="165"/>
      <c r="N65" s="165"/>
    </row>
    <row r="66" spans="1:14">
      <c r="A66" s="165"/>
      <c r="B66" s="165"/>
      <c r="C66" s="165"/>
      <c r="D66" s="165"/>
      <c r="E66" s="165"/>
      <c r="F66" s="165"/>
      <c r="G66" s="165"/>
      <c r="H66" s="165"/>
      <c r="I66" s="165"/>
      <c r="J66" s="165"/>
      <c r="K66" s="165"/>
      <c r="L66" s="165"/>
      <c r="M66" s="165"/>
      <c r="N66" s="165"/>
    </row>
    <row r="67" spans="1:14">
      <c r="A67" s="165"/>
      <c r="B67" s="165"/>
      <c r="C67" s="165"/>
      <c r="D67" s="165"/>
      <c r="E67" s="165"/>
      <c r="F67" s="165"/>
      <c r="G67" s="165"/>
      <c r="H67" s="165"/>
      <c r="I67" s="165"/>
      <c r="J67" s="165"/>
      <c r="K67" s="165"/>
      <c r="L67" s="165"/>
      <c r="M67" s="165"/>
      <c r="N67" s="165"/>
    </row>
    <row r="68" spans="1:14">
      <c r="A68" s="165"/>
      <c r="B68" s="165"/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</row>
    <row r="69" spans="1:14">
      <c r="A69" s="165"/>
      <c r="B69" s="165"/>
      <c r="C69" s="165"/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</row>
    <row r="70" spans="1:14">
      <c r="A70" s="165"/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</row>
    <row r="71" spans="1:14">
      <c r="A71" s="165"/>
      <c r="B71" s="165"/>
      <c r="C71" s="165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</row>
    <row r="72" spans="1:14">
      <c r="A72" s="165"/>
      <c r="B72" s="165"/>
      <c r="C72" s="165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</row>
    <row r="73" spans="1:14">
      <c r="A73" s="165"/>
      <c r="B73" s="165"/>
      <c r="C73" s="165"/>
      <c r="D73" s="165"/>
      <c r="E73" s="165"/>
      <c r="F73" s="165"/>
      <c r="G73" s="165"/>
      <c r="H73" s="165"/>
      <c r="I73" s="165"/>
      <c r="J73" s="165"/>
      <c r="K73" s="165"/>
      <c r="L73" s="165"/>
      <c r="M73" s="165"/>
      <c r="N73" s="165"/>
    </row>
    <row r="74" spans="1:14">
      <c r="A74" s="165"/>
      <c r="B74" s="165"/>
      <c r="C74" s="165"/>
      <c r="D74" s="165"/>
      <c r="E74" s="165"/>
      <c r="F74" s="165"/>
      <c r="G74" s="165"/>
      <c r="H74" s="165"/>
      <c r="I74" s="165"/>
      <c r="J74" s="165"/>
      <c r="K74" s="165"/>
      <c r="L74" s="165"/>
      <c r="M74" s="165"/>
      <c r="N74" s="165"/>
    </row>
    <row r="75" spans="1:14">
      <c r="A75" s="165"/>
      <c r="B75" s="165"/>
      <c r="C75" s="165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</row>
    <row r="76" spans="1:14">
      <c r="A76" s="165"/>
      <c r="B76" s="165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</row>
    <row r="77" spans="1:14">
      <c r="A77" s="165"/>
      <c r="B77" s="165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</row>
    <row r="78" spans="1:14">
      <c r="A78" s="165"/>
      <c r="B78" s="165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</row>
    <row r="79" spans="1:14">
      <c r="A79" s="165"/>
      <c r="B79" s="165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</row>
    <row r="80" spans="1:14">
      <c r="A80" s="165"/>
      <c r="B80" s="165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</row>
    <row r="81" spans="1:14">
      <c r="A81" s="165"/>
      <c r="B81" s="165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</row>
    <row r="82" spans="1:14">
      <c r="A82" s="165"/>
      <c r="B82" s="165"/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</row>
    <row r="83" spans="1:14">
      <c r="A83" s="165"/>
      <c r="B83" s="165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</row>
    <row r="84" spans="1:14">
      <c r="A84" s="165"/>
      <c r="B84" s="165"/>
      <c r="C84" s="165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</row>
    <row r="85" spans="1:14">
      <c r="A85" s="165"/>
      <c r="B85" s="165"/>
      <c r="C85" s="165"/>
      <c r="D85" s="165"/>
      <c r="E85" s="165"/>
      <c r="F85" s="165"/>
      <c r="G85" s="165"/>
      <c r="H85" s="165"/>
      <c r="I85" s="165"/>
      <c r="J85" s="165"/>
      <c r="K85" s="165"/>
      <c r="L85" s="165"/>
      <c r="M85" s="165"/>
      <c r="N85" s="165"/>
    </row>
    <row r="86" spans="1:14">
      <c r="A86" s="165"/>
      <c r="B86" s="165"/>
      <c r="C86" s="165"/>
      <c r="D86" s="165"/>
      <c r="E86" s="165"/>
      <c r="F86" s="165"/>
      <c r="G86" s="165"/>
      <c r="H86" s="165"/>
      <c r="I86" s="165"/>
      <c r="J86" s="165"/>
      <c r="K86" s="165"/>
      <c r="L86" s="165"/>
      <c r="M86" s="165"/>
      <c r="N86" s="165"/>
    </row>
    <row r="87" spans="1:14">
      <c r="A87" s="165"/>
      <c r="B87" s="165"/>
      <c r="C87" s="165"/>
      <c r="D87" s="165"/>
      <c r="E87" s="165"/>
      <c r="F87" s="165"/>
      <c r="G87" s="165"/>
      <c r="H87" s="165"/>
      <c r="I87" s="165"/>
      <c r="J87" s="165"/>
      <c r="K87" s="165"/>
      <c r="L87" s="165"/>
      <c r="M87" s="165"/>
      <c r="N87" s="165"/>
    </row>
    <row r="88" spans="1:14">
      <c r="A88" s="165"/>
      <c r="B88" s="165"/>
      <c r="C88" s="165"/>
      <c r="D88" s="165"/>
      <c r="E88" s="165"/>
      <c r="F88" s="165"/>
      <c r="G88" s="165"/>
      <c r="H88" s="165"/>
      <c r="I88" s="165"/>
      <c r="J88" s="165"/>
      <c r="K88" s="165"/>
      <c r="L88" s="165"/>
      <c r="M88" s="165"/>
      <c r="N88" s="165"/>
    </row>
    <row r="89" spans="1:14">
      <c r="A89" s="165"/>
      <c r="B89" s="165"/>
      <c r="C89" s="165"/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</row>
    <row r="90" spans="1:14">
      <c r="A90" s="165"/>
      <c r="B90" s="165"/>
      <c r="C90" s="165"/>
      <c r="D90" s="165"/>
      <c r="E90" s="165"/>
      <c r="F90" s="165"/>
      <c r="G90" s="165"/>
      <c r="H90" s="165"/>
      <c r="I90" s="165"/>
      <c r="J90" s="165"/>
      <c r="K90" s="165"/>
      <c r="L90" s="165"/>
      <c r="M90" s="165"/>
      <c r="N90" s="165"/>
    </row>
    <row r="91" spans="1:14">
      <c r="A91" s="165"/>
      <c r="B91" s="165"/>
      <c r="C91" s="165"/>
      <c r="D91" s="165"/>
      <c r="E91" s="165"/>
      <c r="F91" s="165"/>
      <c r="G91" s="165"/>
      <c r="H91" s="165"/>
      <c r="I91" s="165"/>
      <c r="J91" s="165"/>
      <c r="K91" s="165"/>
      <c r="L91" s="165"/>
      <c r="M91" s="165"/>
      <c r="N91" s="165"/>
    </row>
    <row r="92" spans="1:14">
      <c r="A92" s="165"/>
      <c r="B92" s="165"/>
      <c r="C92" s="165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</row>
    <row r="93" spans="1:14">
      <c r="A93" s="165"/>
      <c r="B93" s="165"/>
      <c r="C93" s="165"/>
      <c r="D93" s="165"/>
      <c r="E93" s="165"/>
      <c r="F93" s="165"/>
      <c r="G93" s="165"/>
      <c r="H93" s="165"/>
      <c r="I93" s="165"/>
      <c r="J93" s="165"/>
      <c r="K93" s="165"/>
      <c r="L93" s="165"/>
      <c r="M93" s="165"/>
      <c r="N93" s="165"/>
    </row>
    <row r="94" spans="1:14">
      <c r="A94" s="165"/>
      <c r="B94" s="165"/>
      <c r="C94" s="165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</row>
    <row r="95" spans="1:14">
      <c r="A95" s="165"/>
      <c r="B95" s="165"/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</row>
    <row r="96" spans="1:14">
      <c r="A96" s="165"/>
      <c r="B96" s="165"/>
      <c r="C96" s="165"/>
      <c r="D96" s="165"/>
      <c r="E96" s="165"/>
      <c r="F96" s="165"/>
      <c r="G96" s="165"/>
      <c r="H96" s="165"/>
      <c r="I96" s="165"/>
      <c r="J96" s="165"/>
      <c r="K96" s="165"/>
      <c r="L96" s="165"/>
      <c r="M96" s="165"/>
      <c r="N96" s="165"/>
    </row>
    <row r="97" spans="1:14">
      <c r="A97" s="165"/>
      <c r="B97" s="165"/>
      <c r="C97" s="165"/>
      <c r="D97" s="165"/>
      <c r="E97" s="165"/>
      <c r="F97" s="165"/>
      <c r="G97" s="165"/>
      <c r="H97" s="165"/>
      <c r="I97" s="165"/>
      <c r="J97" s="165"/>
      <c r="K97" s="165"/>
      <c r="L97" s="165"/>
      <c r="M97" s="165"/>
      <c r="N97" s="165"/>
    </row>
    <row r="98" spans="1:14">
      <c r="A98" s="165"/>
      <c r="B98" s="165"/>
      <c r="C98" s="165"/>
      <c r="D98" s="165"/>
      <c r="E98" s="165"/>
      <c r="F98" s="165"/>
      <c r="G98" s="165"/>
      <c r="H98" s="165"/>
      <c r="I98" s="165"/>
      <c r="J98" s="165"/>
      <c r="K98" s="165"/>
      <c r="L98" s="165"/>
      <c r="M98" s="165"/>
      <c r="N98" s="165"/>
    </row>
    <row r="99" spans="1:14">
      <c r="A99" s="165"/>
      <c r="B99" s="165"/>
      <c r="C99" s="165"/>
      <c r="D99" s="165"/>
      <c r="E99" s="165"/>
      <c r="F99" s="165"/>
      <c r="G99" s="165"/>
      <c r="H99" s="165"/>
      <c r="I99" s="165"/>
      <c r="J99" s="165"/>
      <c r="K99" s="165"/>
      <c r="L99" s="165"/>
      <c r="M99" s="165"/>
      <c r="N99" s="165"/>
    </row>
    <row r="100" spans="1:14">
      <c r="A100" s="165"/>
      <c r="B100" s="165"/>
      <c r="C100" s="165"/>
      <c r="D100" s="165"/>
      <c r="E100" s="165"/>
      <c r="F100" s="165"/>
      <c r="G100" s="165"/>
      <c r="H100" s="165"/>
      <c r="I100" s="165"/>
      <c r="J100" s="165"/>
      <c r="K100" s="165"/>
      <c r="L100" s="165"/>
      <c r="M100" s="165"/>
      <c r="N100" s="165"/>
    </row>
    <row r="101" spans="1:14">
      <c r="A101" s="165"/>
      <c r="B101" s="165"/>
      <c r="C101" s="165"/>
      <c r="D101" s="165"/>
      <c r="E101" s="165"/>
      <c r="F101" s="165"/>
      <c r="G101" s="165"/>
      <c r="H101" s="165"/>
      <c r="I101" s="165"/>
      <c r="J101" s="165"/>
      <c r="K101" s="165"/>
      <c r="L101" s="165"/>
      <c r="M101" s="165"/>
      <c r="N101" s="165"/>
    </row>
    <row r="102" spans="1:14">
      <c r="A102" s="165"/>
      <c r="B102" s="165"/>
      <c r="C102" s="165"/>
      <c r="D102" s="165"/>
      <c r="E102" s="165"/>
      <c r="F102" s="165"/>
      <c r="G102" s="165"/>
      <c r="H102" s="165"/>
      <c r="I102" s="165"/>
      <c r="J102" s="165"/>
      <c r="K102" s="165"/>
      <c r="L102" s="165"/>
      <c r="M102" s="165"/>
      <c r="N102" s="165"/>
    </row>
    <row r="103" spans="1:14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</row>
    <row r="104" spans="1:14">
      <c r="A104" s="165"/>
      <c r="B104" s="165"/>
      <c r="C104" s="165"/>
      <c r="D104" s="165"/>
      <c r="E104" s="165"/>
      <c r="F104" s="165"/>
      <c r="G104" s="165"/>
      <c r="H104" s="165"/>
      <c r="I104" s="165"/>
      <c r="J104" s="165"/>
      <c r="K104" s="165"/>
      <c r="L104" s="165"/>
      <c r="M104" s="165"/>
      <c r="N104" s="165"/>
    </row>
    <row r="105" spans="1:14">
      <c r="A105" s="165"/>
      <c r="B105" s="165"/>
      <c r="C105" s="165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</row>
    <row r="106" spans="1:14">
      <c r="A106" s="165"/>
      <c r="B106" s="165"/>
      <c r="C106" s="165"/>
      <c r="D106" s="165"/>
      <c r="E106" s="165"/>
      <c r="F106" s="165"/>
      <c r="G106" s="165"/>
      <c r="H106" s="165"/>
      <c r="I106" s="165"/>
      <c r="J106" s="165"/>
      <c r="K106" s="165"/>
      <c r="L106" s="165"/>
      <c r="M106" s="165"/>
      <c r="N106" s="165"/>
    </row>
    <row r="107" spans="1:14">
      <c r="A107" s="165"/>
      <c r="B107" s="165"/>
      <c r="C107" s="165"/>
      <c r="D107" s="165"/>
      <c r="E107" s="165"/>
      <c r="F107" s="165"/>
      <c r="G107" s="165"/>
      <c r="H107" s="165"/>
      <c r="I107" s="165"/>
      <c r="J107" s="165"/>
      <c r="K107" s="165"/>
      <c r="L107" s="165"/>
      <c r="M107" s="165"/>
      <c r="N107" s="165"/>
    </row>
    <row r="108" spans="1:14">
      <c r="A108" s="165"/>
      <c r="B108" s="165"/>
      <c r="C108" s="165"/>
      <c r="D108" s="165"/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</row>
    <row r="109" spans="1:14">
      <c r="A109" s="165"/>
      <c r="B109" s="165"/>
      <c r="C109" s="165"/>
      <c r="D109" s="165"/>
      <c r="E109" s="165"/>
      <c r="F109" s="165"/>
      <c r="G109" s="165"/>
      <c r="H109" s="165"/>
      <c r="I109" s="165"/>
      <c r="J109" s="165"/>
      <c r="K109" s="165"/>
      <c r="L109" s="165"/>
      <c r="M109" s="165"/>
      <c r="N109" s="165"/>
    </row>
    <row r="110" spans="1:14">
      <c r="A110" s="165"/>
      <c r="B110" s="165"/>
      <c r="C110" s="165"/>
      <c r="D110" s="165"/>
      <c r="E110" s="165"/>
      <c r="F110" s="165"/>
      <c r="G110" s="165"/>
      <c r="H110" s="165"/>
      <c r="I110" s="165"/>
      <c r="J110" s="165"/>
      <c r="K110" s="165"/>
      <c r="L110" s="165"/>
      <c r="M110" s="165"/>
      <c r="N110" s="165"/>
    </row>
    <row r="111" spans="1:14">
      <c r="A111" s="165"/>
      <c r="B111" s="165"/>
      <c r="C111" s="165"/>
      <c r="D111" s="165"/>
      <c r="E111" s="165"/>
      <c r="F111" s="165"/>
      <c r="G111" s="165"/>
      <c r="H111" s="165"/>
      <c r="I111" s="165"/>
      <c r="J111" s="165"/>
      <c r="K111" s="165"/>
      <c r="L111" s="165"/>
      <c r="M111" s="165"/>
      <c r="N111" s="165"/>
    </row>
    <row r="112" spans="1:14">
      <c r="A112" s="165"/>
      <c r="B112" s="165"/>
      <c r="C112" s="165"/>
      <c r="D112" s="165"/>
      <c r="E112" s="165"/>
      <c r="F112" s="165"/>
      <c r="G112" s="165"/>
      <c r="H112" s="165"/>
      <c r="I112" s="165"/>
      <c r="J112" s="165"/>
      <c r="K112" s="165"/>
      <c r="L112" s="165"/>
      <c r="M112" s="165"/>
      <c r="N112" s="165"/>
    </row>
    <row r="113" spans="1:14">
      <c r="A113" s="165"/>
      <c r="B113" s="165"/>
      <c r="C113" s="165"/>
      <c r="D113" s="165"/>
      <c r="E113" s="165"/>
      <c r="F113" s="165"/>
      <c r="G113" s="165"/>
      <c r="H113" s="165"/>
      <c r="I113" s="165"/>
      <c r="J113" s="165"/>
      <c r="K113" s="165"/>
      <c r="L113" s="165"/>
      <c r="M113" s="165"/>
      <c r="N113" s="165"/>
    </row>
    <row r="114" spans="1:14">
      <c r="A114" s="165"/>
      <c r="B114" s="165"/>
      <c r="C114" s="165"/>
      <c r="D114" s="165"/>
      <c r="E114" s="165"/>
      <c r="F114" s="165"/>
      <c r="G114" s="165"/>
      <c r="H114" s="165"/>
      <c r="I114" s="165"/>
      <c r="J114" s="165"/>
      <c r="K114" s="165"/>
      <c r="L114" s="165"/>
      <c r="M114" s="165"/>
      <c r="N114" s="165"/>
    </row>
    <row r="115" spans="1:14">
      <c r="A115" s="165"/>
      <c r="B115" s="165"/>
      <c r="C115" s="165"/>
      <c r="D115" s="165"/>
      <c r="E115" s="165"/>
      <c r="F115" s="165"/>
      <c r="G115" s="165"/>
      <c r="H115" s="165"/>
      <c r="I115" s="165"/>
      <c r="J115" s="165"/>
      <c r="K115" s="165"/>
      <c r="L115" s="165"/>
      <c r="M115" s="165"/>
      <c r="N115" s="165"/>
    </row>
    <row r="116" spans="1:14">
      <c r="A116" s="165"/>
      <c r="B116" s="165"/>
      <c r="C116" s="165"/>
      <c r="D116" s="165"/>
      <c r="E116" s="165"/>
      <c r="F116" s="165"/>
      <c r="G116" s="165"/>
      <c r="H116" s="165"/>
      <c r="I116" s="165"/>
      <c r="J116" s="165"/>
      <c r="K116" s="165"/>
      <c r="L116" s="165"/>
      <c r="M116" s="165"/>
      <c r="N116" s="165"/>
    </row>
    <row r="117" spans="1:14">
      <c r="A117" s="165"/>
      <c r="B117" s="165"/>
      <c r="C117" s="165"/>
      <c r="D117" s="165"/>
      <c r="E117" s="165"/>
      <c r="F117" s="165"/>
      <c r="G117" s="165"/>
      <c r="H117" s="165"/>
      <c r="I117" s="165"/>
      <c r="J117" s="165"/>
      <c r="K117" s="165"/>
      <c r="L117" s="165"/>
      <c r="M117" s="165"/>
      <c r="N117" s="165"/>
    </row>
    <row r="118" spans="1:14">
      <c r="A118" s="165"/>
      <c r="B118" s="165"/>
      <c r="C118" s="165"/>
      <c r="D118" s="165"/>
      <c r="E118" s="165"/>
      <c r="F118" s="165"/>
      <c r="G118" s="165"/>
      <c r="H118" s="165"/>
      <c r="I118" s="165"/>
      <c r="J118" s="165"/>
      <c r="K118" s="165"/>
      <c r="L118" s="165"/>
      <c r="M118" s="165"/>
      <c r="N118" s="165"/>
    </row>
    <row r="119" spans="1:14">
      <c r="A119" s="165"/>
      <c r="B119" s="165"/>
      <c r="C119" s="165"/>
      <c r="D119" s="165"/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</row>
    <row r="120" spans="1:14">
      <c r="A120" s="165"/>
      <c r="B120" s="165"/>
      <c r="C120" s="165"/>
      <c r="D120" s="165"/>
      <c r="E120" s="165"/>
      <c r="F120" s="165"/>
      <c r="G120" s="165"/>
      <c r="H120" s="165"/>
      <c r="I120" s="165"/>
      <c r="J120" s="165"/>
      <c r="K120" s="165"/>
      <c r="L120" s="165"/>
      <c r="M120" s="165"/>
      <c r="N120" s="165"/>
    </row>
    <row r="121" spans="1:14">
      <c r="A121" s="165"/>
      <c r="B121" s="165"/>
      <c r="C121" s="165"/>
      <c r="D121" s="165"/>
      <c r="E121" s="165"/>
      <c r="F121" s="165"/>
      <c r="G121" s="165"/>
      <c r="H121" s="165"/>
      <c r="I121" s="165"/>
      <c r="J121" s="165"/>
      <c r="K121" s="165"/>
      <c r="L121" s="165"/>
      <c r="M121" s="165"/>
      <c r="N121" s="165"/>
    </row>
    <row r="122" spans="1:14">
      <c r="A122" s="165"/>
      <c r="B122" s="165"/>
      <c r="C122" s="165"/>
      <c r="D122" s="165"/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</row>
    <row r="123" spans="1:14">
      <c r="A123" s="165"/>
      <c r="B123" s="165"/>
      <c r="C123" s="165"/>
      <c r="D123" s="165"/>
      <c r="E123" s="165"/>
      <c r="F123" s="165"/>
      <c r="G123" s="165"/>
      <c r="H123" s="165"/>
      <c r="I123" s="165"/>
      <c r="J123" s="165"/>
      <c r="K123" s="165"/>
      <c r="L123" s="165"/>
      <c r="M123" s="165"/>
      <c r="N123" s="165"/>
    </row>
    <row r="124" spans="1:14">
      <c r="A124" s="165"/>
      <c r="B124" s="165"/>
      <c r="C124" s="165"/>
      <c r="D124" s="165"/>
      <c r="E124" s="165"/>
      <c r="F124" s="165"/>
      <c r="G124" s="165"/>
      <c r="H124" s="165"/>
      <c r="I124" s="165"/>
      <c r="J124" s="165"/>
      <c r="K124" s="165"/>
      <c r="L124" s="165"/>
      <c r="M124" s="165"/>
      <c r="N124" s="165"/>
    </row>
    <row r="125" spans="1:14">
      <c r="A125" s="165"/>
      <c r="B125" s="165"/>
      <c r="C125" s="165"/>
      <c r="D125" s="165"/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</row>
    <row r="126" spans="1:14">
      <c r="A126" s="165"/>
      <c r="B126" s="165"/>
      <c r="C126" s="165"/>
      <c r="D126" s="165"/>
      <c r="E126" s="165"/>
      <c r="F126" s="165"/>
      <c r="G126" s="165"/>
      <c r="H126" s="165"/>
      <c r="I126" s="165"/>
      <c r="J126" s="165"/>
      <c r="K126" s="165"/>
      <c r="L126" s="165"/>
      <c r="M126" s="165"/>
      <c r="N126" s="165"/>
    </row>
    <row r="127" spans="1:14">
      <c r="A127" s="165"/>
      <c r="B127" s="165"/>
      <c r="C127" s="165"/>
      <c r="D127" s="165"/>
      <c r="E127" s="165"/>
      <c r="F127" s="165"/>
      <c r="G127" s="165"/>
      <c r="H127" s="165"/>
      <c r="I127" s="165"/>
      <c r="J127" s="165"/>
      <c r="K127" s="165"/>
      <c r="L127" s="165"/>
      <c r="M127" s="165"/>
      <c r="N127" s="165"/>
    </row>
    <row r="128" spans="1:14">
      <c r="A128" s="165"/>
      <c r="B128" s="165"/>
      <c r="C128" s="165"/>
      <c r="D128" s="165"/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</row>
    <row r="129" spans="1:14">
      <c r="A129" s="165"/>
      <c r="B129" s="165"/>
      <c r="C129" s="165"/>
      <c r="D129" s="165"/>
      <c r="E129" s="165"/>
      <c r="F129" s="165"/>
      <c r="G129" s="165"/>
      <c r="H129" s="165"/>
      <c r="I129" s="165"/>
      <c r="J129" s="165"/>
      <c r="K129" s="165"/>
      <c r="L129" s="165"/>
      <c r="M129" s="165"/>
      <c r="N129" s="165"/>
    </row>
    <row r="130" spans="1:14">
      <c r="A130" s="165"/>
      <c r="B130" s="165"/>
      <c r="C130" s="165"/>
      <c r="D130" s="165"/>
      <c r="E130" s="165"/>
      <c r="F130" s="165"/>
      <c r="G130" s="165"/>
      <c r="H130" s="165"/>
      <c r="I130" s="165"/>
      <c r="J130" s="165"/>
      <c r="K130" s="165"/>
      <c r="L130" s="165"/>
      <c r="M130" s="165"/>
      <c r="N130" s="165"/>
    </row>
    <row r="131" spans="1:14">
      <c r="A131" s="165"/>
      <c r="B131" s="165"/>
      <c r="C131" s="165"/>
      <c r="D131" s="165"/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</row>
    <row r="132" spans="1:14">
      <c r="A132" s="165"/>
      <c r="B132" s="165"/>
      <c r="C132" s="165"/>
      <c r="D132" s="165"/>
      <c r="E132" s="165"/>
      <c r="F132" s="165"/>
      <c r="G132" s="165"/>
      <c r="H132" s="165"/>
      <c r="I132" s="165"/>
      <c r="J132" s="165"/>
      <c r="K132" s="165"/>
      <c r="L132" s="165"/>
      <c r="M132" s="165"/>
      <c r="N132" s="165"/>
    </row>
    <row r="133" spans="1:14">
      <c r="A133" s="165"/>
      <c r="B133" s="165"/>
      <c r="C133" s="165"/>
      <c r="D133" s="165"/>
      <c r="E133" s="165"/>
      <c r="F133" s="165"/>
      <c r="G133" s="165"/>
      <c r="H133" s="165"/>
      <c r="I133" s="165"/>
      <c r="J133" s="165"/>
      <c r="K133" s="165"/>
      <c r="L133" s="165"/>
      <c r="M133" s="165"/>
      <c r="N133" s="165"/>
    </row>
    <row r="134" spans="1:14">
      <c r="A134" s="165"/>
      <c r="B134" s="165"/>
      <c r="C134" s="165"/>
      <c r="D134" s="165"/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</row>
    <row r="135" spans="1:14">
      <c r="A135" s="165"/>
      <c r="B135" s="165"/>
      <c r="C135" s="165"/>
      <c r="D135" s="165"/>
      <c r="E135" s="165"/>
      <c r="F135" s="165"/>
      <c r="G135" s="165"/>
      <c r="H135" s="165"/>
      <c r="I135" s="165"/>
      <c r="J135" s="165"/>
      <c r="K135" s="165"/>
      <c r="L135" s="165"/>
      <c r="M135" s="165"/>
      <c r="N135" s="165"/>
    </row>
    <row r="136" spans="1:14">
      <c r="A136" s="165"/>
      <c r="B136" s="165"/>
      <c r="C136" s="165"/>
      <c r="D136" s="165"/>
      <c r="E136" s="165"/>
      <c r="F136" s="165"/>
      <c r="G136" s="165"/>
      <c r="H136" s="165"/>
      <c r="I136" s="165"/>
      <c r="J136" s="165"/>
      <c r="K136" s="165"/>
      <c r="L136" s="165"/>
      <c r="M136" s="165"/>
      <c r="N136" s="165"/>
    </row>
    <row r="137" spans="1:14">
      <c r="A137" s="165"/>
      <c r="B137" s="165"/>
      <c r="C137" s="165"/>
      <c r="D137" s="165"/>
      <c r="E137" s="165"/>
      <c r="F137" s="165"/>
      <c r="G137" s="165"/>
      <c r="H137" s="165"/>
      <c r="I137" s="165"/>
      <c r="J137" s="165"/>
      <c r="K137" s="165"/>
      <c r="L137" s="165"/>
      <c r="M137" s="165"/>
      <c r="N137" s="165"/>
    </row>
    <row r="138" spans="1:14">
      <c r="A138" s="165"/>
      <c r="B138" s="165"/>
      <c r="C138" s="165"/>
      <c r="D138" s="165"/>
      <c r="E138" s="165"/>
      <c r="F138" s="165"/>
      <c r="G138" s="165"/>
      <c r="H138" s="165"/>
      <c r="I138" s="165"/>
      <c r="J138" s="165"/>
      <c r="K138" s="165"/>
      <c r="L138" s="165"/>
      <c r="M138" s="165"/>
      <c r="N138" s="165"/>
    </row>
    <row r="139" spans="1:14">
      <c r="A139" s="165"/>
      <c r="B139" s="165"/>
      <c r="C139" s="165"/>
      <c r="D139" s="165"/>
      <c r="E139" s="165"/>
      <c r="F139" s="165"/>
      <c r="G139" s="165"/>
      <c r="H139" s="165"/>
      <c r="I139" s="165"/>
      <c r="J139" s="165"/>
      <c r="K139" s="165"/>
      <c r="L139" s="165"/>
      <c r="M139" s="165"/>
      <c r="N139" s="165"/>
    </row>
    <row r="140" spans="1:14">
      <c r="A140" s="165"/>
      <c r="B140" s="165"/>
      <c r="C140" s="165"/>
      <c r="D140" s="165"/>
      <c r="E140" s="165"/>
      <c r="F140" s="165"/>
      <c r="G140" s="165"/>
      <c r="H140" s="165"/>
      <c r="I140" s="165"/>
      <c r="J140" s="165"/>
      <c r="K140" s="165"/>
      <c r="L140" s="165"/>
      <c r="M140" s="165"/>
      <c r="N140" s="165"/>
    </row>
    <row r="141" spans="1:14">
      <c r="A141" s="165"/>
      <c r="B141" s="165"/>
      <c r="C141" s="165"/>
      <c r="D141" s="165"/>
      <c r="E141" s="165"/>
      <c r="F141" s="165"/>
      <c r="G141" s="165"/>
      <c r="H141" s="165"/>
      <c r="I141" s="165"/>
      <c r="J141" s="165"/>
      <c r="K141" s="165"/>
      <c r="L141" s="165"/>
      <c r="M141" s="165"/>
      <c r="N141" s="165"/>
    </row>
    <row r="142" spans="1:14">
      <c r="A142" s="165"/>
      <c r="B142" s="165"/>
      <c r="C142" s="165"/>
      <c r="D142" s="165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</row>
    <row r="143" spans="1:14">
      <c r="A143" s="165"/>
      <c r="B143" s="165"/>
      <c r="C143" s="165"/>
      <c r="D143" s="165"/>
      <c r="E143" s="165"/>
      <c r="F143" s="165"/>
      <c r="G143" s="165"/>
      <c r="H143" s="165"/>
      <c r="I143" s="165"/>
      <c r="J143" s="165"/>
      <c r="K143" s="165"/>
      <c r="L143" s="165"/>
      <c r="M143" s="165"/>
      <c r="N143" s="165"/>
    </row>
    <row r="144" spans="1:14">
      <c r="A144" s="165"/>
      <c r="B144" s="165"/>
      <c r="C144" s="165"/>
      <c r="D144" s="165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</row>
    <row r="145" spans="1:14">
      <c r="A145" s="165"/>
      <c r="B145" s="165"/>
      <c r="C145" s="165"/>
      <c r="D145" s="165"/>
      <c r="E145" s="165"/>
      <c r="F145" s="165"/>
      <c r="G145" s="165"/>
      <c r="H145" s="165"/>
      <c r="I145" s="165"/>
      <c r="J145" s="165"/>
      <c r="K145" s="165"/>
      <c r="L145" s="165"/>
      <c r="M145" s="165"/>
      <c r="N145" s="165"/>
    </row>
    <row r="146" spans="1:14">
      <c r="A146" s="165"/>
      <c r="B146" s="165"/>
      <c r="C146" s="165"/>
      <c r="D146" s="165"/>
      <c r="E146" s="165"/>
      <c r="F146" s="165"/>
      <c r="G146" s="165"/>
      <c r="H146" s="165"/>
      <c r="I146" s="165"/>
      <c r="J146" s="165"/>
      <c r="K146" s="165"/>
      <c r="L146" s="165"/>
      <c r="M146" s="165"/>
      <c r="N146" s="165"/>
    </row>
    <row r="147" spans="1:14">
      <c r="A147" s="165"/>
      <c r="B147" s="165"/>
      <c r="C147" s="165"/>
      <c r="D147" s="165"/>
      <c r="E147" s="165"/>
      <c r="F147" s="165"/>
      <c r="G147" s="165"/>
      <c r="H147" s="165"/>
      <c r="I147" s="165"/>
      <c r="J147" s="165"/>
      <c r="K147" s="165"/>
      <c r="L147" s="165"/>
      <c r="M147" s="165"/>
      <c r="N147" s="165"/>
    </row>
    <row r="148" spans="1:14">
      <c r="A148" s="165"/>
      <c r="B148" s="165"/>
      <c r="C148" s="165"/>
      <c r="D148" s="165"/>
      <c r="E148" s="165"/>
      <c r="F148" s="165"/>
      <c r="G148" s="165"/>
      <c r="H148" s="165"/>
      <c r="I148" s="165"/>
      <c r="J148" s="165"/>
      <c r="K148" s="165"/>
      <c r="L148" s="165"/>
      <c r="M148" s="165"/>
      <c r="N148" s="165"/>
    </row>
    <row r="149" spans="1:14">
      <c r="A149" s="165"/>
      <c r="B149" s="165"/>
      <c r="C149" s="165"/>
      <c r="D149" s="165"/>
      <c r="E149" s="165"/>
      <c r="F149" s="165"/>
      <c r="G149" s="165"/>
      <c r="H149" s="165"/>
      <c r="I149" s="165"/>
      <c r="J149" s="165"/>
      <c r="K149" s="165"/>
      <c r="L149" s="165"/>
      <c r="M149" s="165"/>
      <c r="N149" s="165"/>
    </row>
    <row r="150" spans="1:14">
      <c r="A150" s="165"/>
      <c r="B150" s="165"/>
      <c r="C150" s="165"/>
      <c r="D150" s="165"/>
      <c r="E150" s="165"/>
      <c r="F150" s="165"/>
      <c r="G150" s="165"/>
      <c r="H150" s="165"/>
      <c r="I150" s="165"/>
      <c r="J150" s="165"/>
      <c r="K150" s="165"/>
      <c r="L150" s="165"/>
      <c r="M150" s="165"/>
      <c r="N150" s="165"/>
    </row>
  </sheetData>
  <mergeCells count="11">
    <mergeCell ref="Q1:AA1"/>
    <mergeCell ref="C1:P1"/>
    <mergeCell ref="C2:C3"/>
    <mergeCell ref="K2:N2"/>
    <mergeCell ref="A29:N29"/>
    <mergeCell ref="A1:B2"/>
    <mergeCell ref="G2:G3"/>
    <mergeCell ref="D2:F2"/>
    <mergeCell ref="D18:P18"/>
    <mergeCell ref="H2:J2"/>
    <mergeCell ref="O2:P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09153-4391-48E9-8403-AC074746C5DC}">
  <dimension ref="A1:EO61"/>
  <sheetViews>
    <sheetView zoomScale="55" zoomScaleNormal="55" workbookViewId="0">
      <selection activeCell="G142" sqref="G142"/>
    </sheetView>
  </sheetViews>
  <sheetFormatPr defaultRowHeight="15"/>
  <cols>
    <col min="1" max="1" width="12.7109375" bestFit="1" customWidth="1"/>
    <col min="2" max="2" width="12.5703125" bestFit="1" customWidth="1"/>
    <col min="3" max="3" width="9.28515625" bestFit="1" customWidth="1"/>
    <col min="4" max="4" width="10.42578125" bestFit="1" customWidth="1"/>
    <col min="6" max="6" width="29.140625" bestFit="1" customWidth="1"/>
    <col min="8" max="29" width="11.28515625" bestFit="1" customWidth="1"/>
    <col min="30" max="33" width="11" bestFit="1" customWidth="1"/>
    <col min="34" max="34" width="10.28515625" bestFit="1" customWidth="1"/>
    <col min="35" max="50" width="10.5703125" bestFit="1" customWidth="1"/>
    <col min="51" max="51" width="17.42578125" customWidth="1"/>
    <col min="52" max="54" width="11.28515625" bestFit="1" customWidth="1"/>
    <col min="55" max="55" width="12.5703125" style="24" bestFit="1" customWidth="1"/>
    <col min="56" max="58" width="11.5703125" style="24" bestFit="1" customWidth="1"/>
    <col min="59" max="59" width="12.5703125" style="24" bestFit="1" customWidth="1"/>
    <col min="60" max="60" width="11.5703125" style="24" bestFit="1" customWidth="1"/>
    <col min="61" max="61" width="12.5703125" style="24" bestFit="1" customWidth="1"/>
    <col min="62" max="62" width="11.5703125" style="24" bestFit="1" customWidth="1"/>
    <col min="63" max="63" width="12.5703125" style="24" bestFit="1" customWidth="1"/>
    <col min="64" max="67" width="11.5703125" style="24" bestFit="1" customWidth="1"/>
    <col min="68" max="69" width="12.5703125" style="24" bestFit="1" customWidth="1"/>
    <col min="70" max="70" width="11.5703125" style="24" bestFit="1" customWidth="1"/>
    <col min="71" max="72" width="12.5703125" style="24" bestFit="1" customWidth="1"/>
    <col min="73" max="73" width="11.5703125" style="24" bestFit="1" customWidth="1"/>
    <col min="74" max="74" width="12.5703125" style="24" bestFit="1" customWidth="1"/>
    <col min="75" max="76" width="11.5703125" style="24" bestFit="1" customWidth="1"/>
    <col min="77" max="77" width="9.42578125" bestFit="1" customWidth="1"/>
    <col min="78" max="85" width="9.28515625" bestFit="1" customWidth="1"/>
    <col min="86" max="86" width="10.28515625" bestFit="1" customWidth="1"/>
    <col min="87" max="101" width="9.28515625" bestFit="1" customWidth="1"/>
  </cols>
  <sheetData>
    <row r="1" spans="1:145">
      <c r="H1" s="23">
        <v>1</v>
      </c>
      <c r="I1" s="23">
        <v>2</v>
      </c>
      <c r="J1" s="23">
        <v>3</v>
      </c>
      <c r="K1" s="23">
        <v>4</v>
      </c>
      <c r="L1" s="23">
        <v>5</v>
      </c>
      <c r="M1" s="23">
        <v>6</v>
      </c>
      <c r="N1" s="23">
        <v>7</v>
      </c>
      <c r="O1" s="23">
        <v>8</v>
      </c>
      <c r="P1" s="23">
        <v>9</v>
      </c>
      <c r="Q1" s="23">
        <v>10</v>
      </c>
      <c r="R1" s="23">
        <v>11</v>
      </c>
      <c r="S1" s="23">
        <v>12</v>
      </c>
      <c r="T1" s="23">
        <v>13</v>
      </c>
      <c r="U1" s="23">
        <v>14</v>
      </c>
      <c r="V1" s="23">
        <v>15</v>
      </c>
      <c r="W1" s="23">
        <v>16</v>
      </c>
      <c r="X1" s="23">
        <v>17</v>
      </c>
      <c r="Y1" s="23">
        <v>18</v>
      </c>
      <c r="Z1" s="23">
        <v>19</v>
      </c>
      <c r="AA1" s="23">
        <v>20</v>
      </c>
      <c r="AB1" s="23">
        <v>21</v>
      </c>
      <c r="AC1" s="23">
        <v>22</v>
      </c>
      <c r="AD1" s="23">
        <v>1</v>
      </c>
      <c r="AE1" s="23">
        <v>2</v>
      </c>
      <c r="AF1" s="23">
        <v>3</v>
      </c>
      <c r="AG1" s="23">
        <v>4</v>
      </c>
      <c r="AH1" s="23">
        <v>5</v>
      </c>
      <c r="AI1" s="23">
        <v>6</v>
      </c>
      <c r="AJ1" s="23">
        <v>7</v>
      </c>
      <c r="AK1" s="23">
        <v>8</v>
      </c>
      <c r="AL1" s="23">
        <v>9</v>
      </c>
      <c r="AM1" s="23">
        <v>10</v>
      </c>
      <c r="AN1" s="23">
        <v>11</v>
      </c>
      <c r="AO1" s="23">
        <v>12</v>
      </c>
      <c r="AP1" s="23">
        <v>13</v>
      </c>
      <c r="AQ1" s="23">
        <v>14</v>
      </c>
      <c r="AR1" s="23">
        <v>15</v>
      </c>
      <c r="AS1" s="23">
        <v>16</v>
      </c>
      <c r="AT1" s="23">
        <v>17</v>
      </c>
      <c r="AU1" s="23">
        <v>18</v>
      </c>
      <c r="AV1" s="23">
        <v>19</v>
      </c>
      <c r="AW1" s="23">
        <v>20</v>
      </c>
      <c r="AX1" s="23">
        <v>21</v>
      </c>
      <c r="AY1" s="23">
        <v>22</v>
      </c>
      <c r="AZ1" s="23">
        <v>23</v>
      </c>
      <c r="BA1" s="23">
        <v>24</v>
      </c>
      <c r="BB1" s="23">
        <v>25</v>
      </c>
    </row>
    <row r="2" spans="1:145" s="25" customFormat="1" ht="14.45" customHeight="1">
      <c r="A2" s="196" t="s">
        <v>72</v>
      </c>
      <c r="B2" s="196"/>
      <c r="C2" s="196"/>
      <c r="D2" s="196"/>
      <c r="E2" s="196"/>
      <c r="H2" s="25">
        <v>2020</v>
      </c>
      <c r="I2" s="25">
        <v>2020</v>
      </c>
      <c r="J2" s="25">
        <v>2020</v>
      </c>
      <c r="K2" s="25">
        <v>2020</v>
      </c>
      <c r="L2" s="25">
        <v>2020</v>
      </c>
      <c r="M2" s="25">
        <v>2020</v>
      </c>
      <c r="N2" s="25">
        <v>2020</v>
      </c>
      <c r="O2" s="25">
        <v>2020</v>
      </c>
      <c r="P2" s="25">
        <f>H2+1</f>
        <v>2021</v>
      </c>
      <c r="Q2" s="25">
        <f>I2+1</f>
        <v>2021</v>
      </c>
      <c r="R2" s="25">
        <f t="shared" ref="R2:AG2" si="0">J2+1</f>
        <v>2021</v>
      </c>
      <c r="S2" s="25">
        <f t="shared" si="0"/>
        <v>2021</v>
      </c>
      <c r="T2" s="25">
        <f t="shared" si="0"/>
        <v>2021</v>
      </c>
      <c r="U2" s="25">
        <f t="shared" si="0"/>
        <v>2021</v>
      </c>
      <c r="V2" s="25">
        <f t="shared" si="0"/>
        <v>2021</v>
      </c>
      <c r="W2" s="25">
        <f t="shared" si="0"/>
        <v>2021</v>
      </c>
      <c r="X2" s="25">
        <f t="shared" si="0"/>
        <v>2022</v>
      </c>
      <c r="Y2" s="25">
        <f t="shared" si="0"/>
        <v>2022</v>
      </c>
      <c r="Z2" s="25">
        <f t="shared" si="0"/>
        <v>2022</v>
      </c>
      <c r="AA2" s="25">
        <f t="shared" si="0"/>
        <v>2022</v>
      </c>
      <c r="AB2" s="25">
        <f t="shared" si="0"/>
        <v>2022</v>
      </c>
      <c r="AC2" s="25">
        <f t="shared" si="0"/>
        <v>2022</v>
      </c>
      <c r="AD2" s="25">
        <f t="shared" si="0"/>
        <v>2022</v>
      </c>
      <c r="AE2" s="25">
        <f t="shared" si="0"/>
        <v>2022</v>
      </c>
      <c r="AF2" s="25">
        <f t="shared" si="0"/>
        <v>2023</v>
      </c>
      <c r="AG2" s="25">
        <f t="shared" si="0"/>
        <v>2023</v>
      </c>
      <c r="AZ2" s="26">
        <v>3</v>
      </c>
      <c r="BA2" s="26">
        <v>4</v>
      </c>
      <c r="BB2" s="26">
        <v>5</v>
      </c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8"/>
    </row>
    <row r="3" spans="1:145" s="25" customFormat="1" ht="12.75">
      <c r="H3" s="197" t="s">
        <v>85</v>
      </c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8" t="s">
        <v>86</v>
      </c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9" t="s">
        <v>87</v>
      </c>
      <c r="BA3" s="200"/>
      <c r="BB3" s="201"/>
      <c r="BC3" s="202" t="s">
        <v>88</v>
      </c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U3" s="203"/>
      <c r="BV3" s="203"/>
      <c r="BW3" s="203"/>
      <c r="BX3" s="203"/>
      <c r="BY3" s="203"/>
      <c r="BZ3" s="203"/>
      <c r="CA3" s="203"/>
      <c r="CB3" s="25" t="s">
        <v>89</v>
      </c>
      <c r="CX3" s="25" t="s">
        <v>90</v>
      </c>
      <c r="DT3" s="25" t="s">
        <v>91</v>
      </c>
    </row>
    <row r="4" spans="1:145" s="25" customFormat="1" ht="14.45" customHeight="1">
      <c r="F4" s="29"/>
      <c r="G4" s="30"/>
      <c r="H4" s="192">
        <v>2022</v>
      </c>
      <c r="I4" s="193"/>
      <c r="J4" s="193"/>
      <c r="K4" s="193"/>
      <c r="L4" s="193"/>
      <c r="M4" s="193"/>
      <c r="N4" s="193"/>
      <c r="O4" s="194"/>
      <c r="P4" s="192">
        <v>2023</v>
      </c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4"/>
      <c r="AB4" s="192">
        <v>2024</v>
      </c>
      <c r="AC4" s="194"/>
      <c r="AD4" s="184">
        <f>H4</f>
        <v>2022</v>
      </c>
      <c r="AE4" s="195"/>
      <c r="AF4" s="195"/>
      <c r="AG4" s="195"/>
      <c r="AH4" s="195"/>
      <c r="AI4" s="195"/>
      <c r="AJ4" s="195"/>
      <c r="AK4" s="185"/>
      <c r="AL4" s="184">
        <v>2023</v>
      </c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85"/>
      <c r="AX4" s="184">
        <v>2024</v>
      </c>
      <c r="AY4" s="185"/>
      <c r="AZ4" s="186" t="s">
        <v>15</v>
      </c>
      <c r="BA4" s="187"/>
      <c r="BB4" s="188"/>
      <c r="BC4" s="189">
        <v>2022</v>
      </c>
      <c r="BD4" s="190"/>
      <c r="BE4" s="190"/>
      <c r="BF4" s="190"/>
      <c r="BG4" s="190"/>
      <c r="BH4" s="190"/>
      <c r="BI4" s="190"/>
      <c r="BJ4" s="191"/>
      <c r="BK4" s="189">
        <v>2023</v>
      </c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1"/>
      <c r="BW4" s="189">
        <v>2024</v>
      </c>
      <c r="BX4" s="191"/>
      <c r="BY4" s="31" t="s">
        <v>13</v>
      </c>
      <c r="BZ4" s="31" t="s">
        <v>16</v>
      </c>
      <c r="CA4" s="31" t="s">
        <v>16</v>
      </c>
      <c r="CB4" s="181">
        <v>2022</v>
      </c>
      <c r="CC4" s="183"/>
      <c r="CD4" s="183"/>
      <c r="CE4" s="183"/>
      <c r="CF4" s="183"/>
      <c r="CG4" s="183"/>
      <c r="CH4" s="183"/>
      <c r="CI4" s="182"/>
      <c r="CJ4" s="181">
        <v>2023</v>
      </c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2"/>
      <c r="CV4" s="181">
        <v>2024</v>
      </c>
      <c r="CW4" s="182"/>
      <c r="CX4" s="181">
        <v>2022</v>
      </c>
      <c r="CY4" s="183"/>
      <c r="CZ4" s="183"/>
      <c r="DA4" s="183"/>
      <c r="DB4" s="183"/>
      <c r="DC4" s="183"/>
      <c r="DD4" s="183"/>
      <c r="DE4" s="182"/>
      <c r="DF4" s="181">
        <v>2023</v>
      </c>
      <c r="DG4" s="183"/>
      <c r="DH4" s="183"/>
      <c r="DI4" s="183"/>
      <c r="DJ4" s="183"/>
      <c r="DK4" s="183"/>
      <c r="DL4" s="183"/>
      <c r="DM4" s="183"/>
      <c r="DN4" s="183"/>
      <c r="DO4" s="183"/>
      <c r="DP4" s="183"/>
      <c r="DQ4" s="182"/>
      <c r="DR4" s="181">
        <v>2024</v>
      </c>
      <c r="DS4" s="182"/>
      <c r="DT4" s="181">
        <v>2022</v>
      </c>
      <c r="DU4" s="183"/>
      <c r="DV4" s="183"/>
      <c r="DW4" s="183"/>
      <c r="DX4" s="183"/>
      <c r="DY4" s="183"/>
      <c r="DZ4" s="183"/>
      <c r="EA4" s="182"/>
      <c r="EB4" s="181">
        <v>2023</v>
      </c>
      <c r="EC4" s="183"/>
      <c r="ED4" s="183"/>
      <c r="EE4" s="183"/>
      <c r="EF4" s="183"/>
      <c r="EG4" s="183"/>
      <c r="EH4" s="183"/>
      <c r="EI4" s="183"/>
      <c r="EJ4" s="183"/>
      <c r="EK4" s="183"/>
      <c r="EL4" s="183"/>
      <c r="EM4" s="182"/>
      <c r="EN4" s="181">
        <v>2024</v>
      </c>
      <c r="EO4" s="182"/>
    </row>
    <row r="5" spans="1:145" s="25" customFormat="1" ht="13.15" customHeight="1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32" t="s">
        <v>17</v>
      </c>
      <c r="G5" s="30" t="s">
        <v>18</v>
      </c>
      <c r="H5" s="30">
        <v>5</v>
      </c>
      <c r="I5" s="30">
        <v>6</v>
      </c>
      <c r="J5" s="30">
        <v>7</v>
      </c>
      <c r="K5" s="30">
        <v>8</v>
      </c>
      <c r="L5" s="30">
        <v>9</v>
      </c>
      <c r="M5" s="30">
        <v>10</v>
      </c>
      <c r="N5" s="30">
        <v>11</v>
      </c>
      <c r="O5" s="30">
        <v>12</v>
      </c>
      <c r="P5" s="30">
        <v>1</v>
      </c>
      <c r="Q5" s="30">
        <v>2</v>
      </c>
      <c r="R5" s="30">
        <v>3</v>
      </c>
      <c r="S5" s="30">
        <v>4</v>
      </c>
      <c r="T5" s="30">
        <v>5</v>
      </c>
      <c r="U5" s="30">
        <v>6</v>
      </c>
      <c r="V5" s="30">
        <v>7</v>
      </c>
      <c r="W5" s="30">
        <v>8</v>
      </c>
      <c r="X5" s="30">
        <v>9</v>
      </c>
      <c r="Y5" s="30">
        <v>10</v>
      </c>
      <c r="Z5" s="30">
        <v>11</v>
      </c>
      <c r="AA5" s="30">
        <v>12</v>
      </c>
      <c r="AB5" s="30">
        <v>1</v>
      </c>
      <c r="AC5" s="30">
        <v>2</v>
      </c>
      <c r="AD5" s="33">
        <v>5</v>
      </c>
      <c r="AE5" s="33">
        <v>6</v>
      </c>
      <c r="AF5" s="33">
        <v>7</v>
      </c>
      <c r="AG5" s="33">
        <v>8</v>
      </c>
      <c r="AH5" s="33">
        <v>9</v>
      </c>
      <c r="AI5" s="33">
        <v>10</v>
      </c>
      <c r="AJ5" s="33">
        <v>11</v>
      </c>
      <c r="AK5" s="33">
        <v>12</v>
      </c>
      <c r="AL5" s="33">
        <v>1</v>
      </c>
      <c r="AM5" s="33">
        <v>2</v>
      </c>
      <c r="AN5" s="33">
        <v>3</v>
      </c>
      <c r="AO5" s="33">
        <v>4</v>
      </c>
      <c r="AP5" s="33">
        <v>5</v>
      </c>
      <c r="AQ5" s="33">
        <v>6</v>
      </c>
      <c r="AR5" s="33">
        <v>7</v>
      </c>
      <c r="AS5" s="33">
        <v>8</v>
      </c>
      <c r="AT5" s="33">
        <v>9</v>
      </c>
      <c r="AU5" s="33">
        <v>10</v>
      </c>
      <c r="AV5" s="33">
        <v>11</v>
      </c>
      <c r="AW5" s="33">
        <v>12</v>
      </c>
      <c r="AX5" s="33">
        <v>1</v>
      </c>
      <c r="AY5" s="33">
        <v>2</v>
      </c>
      <c r="AZ5" s="34" t="s">
        <v>19</v>
      </c>
      <c r="BA5" s="34" t="s">
        <v>20</v>
      </c>
      <c r="BB5" s="34" t="s">
        <v>21</v>
      </c>
      <c r="BC5" s="35">
        <f t="shared" ref="BC5:BX5" si="1">H5</f>
        <v>5</v>
      </c>
      <c r="BD5" s="35">
        <f t="shared" si="1"/>
        <v>6</v>
      </c>
      <c r="BE5" s="35">
        <f t="shared" si="1"/>
        <v>7</v>
      </c>
      <c r="BF5" s="35">
        <f t="shared" si="1"/>
        <v>8</v>
      </c>
      <c r="BG5" s="35">
        <f t="shared" si="1"/>
        <v>9</v>
      </c>
      <c r="BH5" s="35">
        <f t="shared" si="1"/>
        <v>10</v>
      </c>
      <c r="BI5" s="35">
        <f t="shared" si="1"/>
        <v>11</v>
      </c>
      <c r="BJ5" s="35">
        <f t="shared" si="1"/>
        <v>12</v>
      </c>
      <c r="BK5" s="35">
        <f t="shared" si="1"/>
        <v>1</v>
      </c>
      <c r="BL5" s="35">
        <f t="shared" si="1"/>
        <v>2</v>
      </c>
      <c r="BM5" s="35">
        <f t="shared" si="1"/>
        <v>3</v>
      </c>
      <c r="BN5" s="35">
        <f t="shared" si="1"/>
        <v>4</v>
      </c>
      <c r="BO5" s="35">
        <f t="shared" si="1"/>
        <v>5</v>
      </c>
      <c r="BP5" s="35">
        <f t="shared" si="1"/>
        <v>6</v>
      </c>
      <c r="BQ5" s="35">
        <f t="shared" si="1"/>
        <v>7</v>
      </c>
      <c r="BR5" s="35">
        <f t="shared" si="1"/>
        <v>8</v>
      </c>
      <c r="BS5" s="35">
        <f t="shared" si="1"/>
        <v>9</v>
      </c>
      <c r="BT5" s="35">
        <f t="shared" si="1"/>
        <v>10</v>
      </c>
      <c r="BU5" s="35">
        <f t="shared" si="1"/>
        <v>11</v>
      </c>
      <c r="BV5" s="35">
        <f t="shared" si="1"/>
        <v>12</v>
      </c>
      <c r="BW5" s="35">
        <f t="shared" si="1"/>
        <v>1</v>
      </c>
      <c r="BX5" s="35">
        <f t="shared" si="1"/>
        <v>2</v>
      </c>
      <c r="BY5" s="36"/>
      <c r="BZ5" s="36"/>
      <c r="CA5" s="36"/>
      <c r="CB5" s="37">
        <v>5</v>
      </c>
      <c r="CC5" s="37">
        <v>6</v>
      </c>
      <c r="CD5" s="37">
        <v>7</v>
      </c>
      <c r="CE5" s="37">
        <v>8</v>
      </c>
      <c r="CF5" s="37">
        <v>9</v>
      </c>
      <c r="CG5" s="37">
        <v>10</v>
      </c>
      <c r="CH5" s="37">
        <v>11</v>
      </c>
      <c r="CI5" s="37">
        <v>12</v>
      </c>
      <c r="CJ5" s="37">
        <v>1</v>
      </c>
      <c r="CK5" s="37">
        <v>2</v>
      </c>
      <c r="CL5" s="37">
        <v>3</v>
      </c>
      <c r="CM5" s="37">
        <v>4</v>
      </c>
      <c r="CN5" s="37">
        <v>5</v>
      </c>
      <c r="CO5" s="37">
        <v>6</v>
      </c>
      <c r="CP5" s="37">
        <v>7</v>
      </c>
      <c r="CQ5" s="37">
        <v>8</v>
      </c>
      <c r="CR5" s="37">
        <v>9</v>
      </c>
      <c r="CS5" s="37">
        <v>10</v>
      </c>
      <c r="CT5" s="37">
        <v>11</v>
      </c>
      <c r="CU5" s="37">
        <v>12</v>
      </c>
      <c r="CV5" s="37">
        <v>1</v>
      </c>
      <c r="CW5" s="37">
        <v>2</v>
      </c>
      <c r="CX5" s="37">
        <v>5</v>
      </c>
      <c r="CY5" s="37">
        <v>6</v>
      </c>
      <c r="CZ5" s="37">
        <v>7</v>
      </c>
      <c r="DA5" s="37">
        <v>8</v>
      </c>
      <c r="DB5" s="37">
        <v>9</v>
      </c>
      <c r="DC5" s="37">
        <v>10</v>
      </c>
      <c r="DD5" s="37">
        <v>11</v>
      </c>
      <c r="DE5" s="37">
        <v>12</v>
      </c>
      <c r="DF5" s="37">
        <v>1</v>
      </c>
      <c r="DG5" s="37">
        <v>2</v>
      </c>
      <c r="DH5" s="37">
        <v>3</v>
      </c>
      <c r="DI5" s="37">
        <v>4</v>
      </c>
      <c r="DJ5" s="37">
        <v>5</v>
      </c>
      <c r="DK5" s="37">
        <v>6</v>
      </c>
      <c r="DL5" s="37">
        <v>7</v>
      </c>
      <c r="DM5" s="37">
        <v>8</v>
      </c>
      <c r="DN5" s="37">
        <v>9</v>
      </c>
      <c r="DO5" s="37">
        <v>10</v>
      </c>
      <c r="DP5" s="37">
        <v>11</v>
      </c>
      <c r="DQ5" s="37">
        <v>12</v>
      </c>
      <c r="DR5" s="37">
        <v>1</v>
      </c>
      <c r="DS5" s="37">
        <v>2</v>
      </c>
      <c r="DT5" s="37">
        <v>5</v>
      </c>
      <c r="DU5" s="37">
        <v>6</v>
      </c>
      <c r="DV5" s="37">
        <v>7</v>
      </c>
      <c r="DW5" s="37">
        <v>8</v>
      </c>
      <c r="DX5" s="37">
        <v>9</v>
      </c>
      <c r="DY5" s="37">
        <v>10</v>
      </c>
      <c r="DZ5" s="37">
        <v>11</v>
      </c>
      <c r="EA5" s="37">
        <v>12</v>
      </c>
      <c r="EB5" s="37">
        <v>1</v>
      </c>
      <c r="EC5" s="37">
        <v>2</v>
      </c>
      <c r="ED5" s="37">
        <v>3</v>
      </c>
      <c r="EE5" s="37">
        <v>4</v>
      </c>
      <c r="EF5" s="37">
        <v>5</v>
      </c>
      <c r="EG5" s="37">
        <v>6</v>
      </c>
      <c r="EH5" s="37">
        <v>7</v>
      </c>
      <c r="EI5" s="37">
        <v>8</v>
      </c>
      <c r="EJ5" s="37">
        <v>9</v>
      </c>
      <c r="EK5" s="37">
        <v>10</v>
      </c>
      <c r="EL5" s="37">
        <v>11</v>
      </c>
      <c r="EM5" s="37">
        <v>12</v>
      </c>
      <c r="EN5" s="37">
        <v>1</v>
      </c>
      <c r="EO5" s="37">
        <v>2</v>
      </c>
    </row>
    <row r="6" spans="1:145" s="25" customFormat="1" ht="12.75">
      <c r="A6" s="38"/>
      <c r="B6" s="38"/>
      <c r="C6" s="38"/>
      <c r="D6" s="38">
        <v>3</v>
      </c>
      <c r="E6" s="38"/>
      <c r="F6" s="39" t="s">
        <v>77</v>
      </c>
      <c r="G6" s="40" t="s">
        <v>22</v>
      </c>
      <c r="H6" s="41">
        <v>29802</v>
      </c>
      <c r="I6" s="41">
        <v>27904</v>
      </c>
      <c r="J6" s="41">
        <v>27833</v>
      </c>
      <c r="K6" s="41">
        <v>29818</v>
      </c>
      <c r="L6" s="41">
        <v>33432</v>
      </c>
      <c r="M6" s="41">
        <v>28803</v>
      </c>
      <c r="N6" s="41">
        <v>40292</v>
      </c>
      <c r="O6" s="41">
        <v>26278</v>
      </c>
      <c r="P6" s="41">
        <v>42540</v>
      </c>
      <c r="Q6" s="41">
        <v>37172</v>
      </c>
      <c r="R6" s="41">
        <v>41637</v>
      </c>
      <c r="S6" s="41">
        <v>31219</v>
      </c>
      <c r="T6" s="41">
        <v>28676</v>
      </c>
      <c r="U6" s="41">
        <v>49731</v>
      </c>
      <c r="V6" s="41">
        <v>41224</v>
      </c>
      <c r="W6" s="41">
        <v>32655</v>
      </c>
      <c r="X6" s="41">
        <v>28540</v>
      </c>
      <c r="Y6" s="41">
        <v>21790</v>
      </c>
      <c r="Z6" s="41">
        <v>37336</v>
      </c>
      <c r="AA6" s="41">
        <v>42633</v>
      </c>
      <c r="AB6" s="41">
        <v>31691</v>
      </c>
      <c r="AC6" s="41">
        <v>43098</v>
      </c>
      <c r="AD6" s="42"/>
      <c r="AE6" s="43">
        <f>AVERAGE($H6:H6)</f>
        <v>29802</v>
      </c>
      <c r="AF6" s="43">
        <f>AVERAGE($H6:I6)</f>
        <v>28853</v>
      </c>
      <c r="AG6" s="43">
        <f>AVERAGE($H6:J6)</f>
        <v>28513</v>
      </c>
      <c r="AH6" s="43">
        <f>AVERAGE($H6:K6)</f>
        <v>28839.25</v>
      </c>
      <c r="AI6" s="43">
        <f>AVERAGE($H6:L6)</f>
        <v>29757.8</v>
      </c>
      <c r="AJ6" s="43">
        <f>AVERAGE($H6:M6)</f>
        <v>29598.666666666668</v>
      </c>
      <c r="AK6" s="43">
        <f>AVERAGE($H6:N6)</f>
        <v>31126.285714285714</v>
      </c>
      <c r="AL6" s="43">
        <f>AVERAGE($H6:O6)</f>
        <v>30520.25</v>
      </c>
      <c r="AM6" s="43">
        <f>AVERAGE($H6:P6)</f>
        <v>31855.777777777777</v>
      </c>
      <c r="AN6" s="43">
        <f>AVERAGE($H6:Q6)</f>
        <v>32387.4</v>
      </c>
      <c r="AO6" s="43">
        <f>AVERAGE($H6:R6)</f>
        <v>33228.272727272728</v>
      </c>
      <c r="AP6" s="43">
        <f>AVERAGE($H6:S6)</f>
        <v>33060.833333333336</v>
      </c>
      <c r="AQ6" s="43">
        <f>AVERAGE($H6:T6)</f>
        <v>32723.538461538461</v>
      </c>
      <c r="AR6" s="43">
        <f>AVERAGE($H6:U6)</f>
        <v>33938.357142857145</v>
      </c>
      <c r="AS6" s="43">
        <f>AVERAGE($H6:V6)</f>
        <v>34424.066666666666</v>
      </c>
      <c r="AT6" s="43">
        <f>AVERAGE($H6:W6)</f>
        <v>34313.5</v>
      </c>
      <c r="AU6" s="43">
        <f>AVERAGE($H6:X6)</f>
        <v>33973.882352941175</v>
      </c>
      <c r="AV6" s="43">
        <f>AVERAGE($H6:Y6)</f>
        <v>33297</v>
      </c>
      <c r="AW6" s="43">
        <f>AVERAGE($H6:Z6)</f>
        <v>33509.57894736842</v>
      </c>
      <c r="AX6" s="43">
        <f>AVERAGE($H6:AA6)</f>
        <v>33965.75</v>
      </c>
      <c r="AY6" s="43">
        <f>AVERAGE($H6:AB6)</f>
        <v>33857.428571428572</v>
      </c>
      <c r="AZ6" s="43">
        <f>AVERAGE($H6:AC6)</f>
        <v>34277.454545454544</v>
      </c>
      <c r="BA6" s="44">
        <f t="shared" ref="BA6:BB10" si="2">AZ6</f>
        <v>34277.454545454544</v>
      </c>
      <c r="BB6" s="44">
        <f t="shared" si="2"/>
        <v>34277.454545454544</v>
      </c>
      <c r="BC6" s="45" t="str">
        <f>IF(AD6="","",POWER(H6-AD6,2))</f>
        <v/>
      </c>
      <c r="BD6" s="45">
        <f t="shared" ref="BD6:BX6" si="3">IF(AE6="","",POWER(I6-AE6,2))</f>
        <v>3602404</v>
      </c>
      <c r="BE6" s="45">
        <f t="shared" si="3"/>
        <v>1040400</v>
      </c>
      <c r="BF6" s="45">
        <f t="shared" si="3"/>
        <v>1703025</v>
      </c>
      <c r="BG6" s="45">
        <f t="shared" si="3"/>
        <v>21093352.5625</v>
      </c>
      <c r="BH6" s="45">
        <f t="shared" si="3"/>
        <v>911643.03999999864</v>
      </c>
      <c r="BI6" s="45">
        <f t="shared" si="3"/>
        <v>114347377.77777775</v>
      </c>
      <c r="BJ6" s="45">
        <f t="shared" si="3"/>
        <v>23505874.367346935</v>
      </c>
      <c r="BK6" s="45">
        <f t="shared" si="3"/>
        <v>144474390.0625</v>
      </c>
      <c r="BL6" s="45">
        <f t="shared" si="3"/>
        <v>28262218.716049388</v>
      </c>
      <c r="BM6" s="45">
        <f t="shared" si="3"/>
        <v>85555100.159999967</v>
      </c>
      <c r="BN6" s="45">
        <f t="shared" si="3"/>
        <v>4037176.8925619861</v>
      </c>
      <c r="BO6" s="45">
        <f t="shared" si="3"/>
        <v>19226763.361111131</v>
      </c>
      <c r="BP6" s="45">
        <f t="shared" si="3"/>
        <v>289253747.98224854</v>
      </c>
      <c r="BQ6" s="45">
        <f t="shared" si="3"/>
        <v>53080591.841836706</v>
      </c>
      <c r="BR6" s="45">
        <f t="shared" si="3"/>
        <v>3129596.8711111075</v>
      </c>
      <c r="BS6" s="45">
        <f t="shared" si="3"/>
        <v>33333302.25</v>
      </c>
      <c r="BT6" s="45">
        <f t="shared" si="3"/>
        <v>148446989.19031137</v>
      </c>
      <c r="BU6" s="45">
        <f t="shared" si="3"/>
        <v>16313521</v>
      </c>
      <c r="BV6" s="45">
        <f t="shared" si="3"/>
        <v>83236811.703601122</v>
      </c>
      <c r="BW6" s="45">
        <f t="shared" si="3"/>
        <v>5174487.5625</v>
      </c>
      <c r="BX6" s="45">
        <f t="shared" si="3"/>
        <v>85388160.326530591</v>
      </c>
      <c r="BY6" s="46">
        <f>SQRT(AVERAGE(BC6:BX6))</f>
        <v>7448.6078426584954</v>
      </c>
      <c r="BZ6" s="47">
        <f>BY6/AZ6</f>
        <v>0.21730341244508306</v>
      </c>
      <c r="CA6" s="47">
        <f>BY6/AVERAGE(H6:AC6)</f>
        <v>0.21730341244508306</v>
      </c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</row>
    <row r="7" spans="1:145" s="55" customFormat="1" ht="12.75">
      <c r="A7" s="49" t="s">
        <v>23</v>
      </c>
      <c r="B7" s="49" t="s">
        <v>24</v>
      </c>
      <c r="C7" s="49" t="s">
        <v>25</v>
      </c>
      <c r="D7" s="49" t="s">
        <v>26</v>
      </c>
      <c r="E7" s="49" t="s">
        <v>27</v>
      </c>
      <c r="F7" s="50"/>
      <c r="G7" s="50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0"/>
      <c r="AE7" s="50"/>
      <c r="AF7" s="50"/>
      <c r="AG7" s="50"/>
      <c r="AH7" s="50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2"/>
      <c r="BB7" s="52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3"/>
      <c r="BZ7" s="54"/>
      <c r="CA7" s="54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</row>
    <row r="8" spans="1:145" s="25" customFormat="1" ht="12.75">
      <c r="A8" s="56">
        <v>0.1</v>
      </c>
      <c r="B8" s="56">
        <v>0.1</v>
      </c>
      <c r="C8" s="56">
        <v>0.15</v>
      </c>
      <c r="D8" s="56">
        <v>0.25</v>
      </c>
      <c r="E8" s="56">
        <v>0.4</v>
      </c>
      <c r="F8" s="42" t="s">
        <v>78</v>
      </c>
      <c r="G8" s="40" t="s">
        <v>22</v>
      </c>
      <c r="H8" s="41">
        <v>29802</v>
      </c>
      <c r="I8" s="41">
        <v>27904</v>
      </c>
      <c r="J8" s="41">
        <v>27833</v>
      </c>
      <c r="K8" s="41">
        <v>29818</v>
      </c>
      <c r="L8" s="41">
        <v>33432</v>
      </c>
      <c r="M8" s="41">
        <v>28803</v>
      </c>
      <c r="N8" s="41">
        <v>40292</v>
      </c>
      <c r="O8" s="41">
        <v>26278</v>
      </c>
      <c r="P8" s="41">
        <v>42540</v>
      </c>
      <c r="Q8" s="41">
        <v>37172</v>
      </c>
      <c r="R8" s="41">
        <v>41637</v>
      </c>
      <c r="S8" s="41">
        <v>31219</v>
      </c>
      <c r="T8" s="41">
        <v>28676</v>
      </c>
      <c r="U8" s="41">
        <v>49731</v>
      </c>
      <c r="V8" s="41">
        <v>41224</v>
      </c>
      <c r="W8" s="41">
        <v>32655</v>
      </c>
      <c r="X8" s="41">
        <v>28540</v>
      </c>
      <c r="Y8" s="41">
        <v>21790</v>
      </c>
      <c r="Z8" s="41">
        <v>37336</v>
      </c>
      <c r="AA8" s="41">
        <v>42633</v>
      </c>
      <c r="AB8" s="41">
        <v>31691</v>
      </c>
      <c r="AC8" s="41">
        <v>43098</v>
      </c>
      <c r="AD8" s="42"/>
      <c r="AE8" s="42"/>
      <c r="AF8" s="42"/>
      <c r="AG8" s="42"/>
      <c r="AH8" s="42"/>
      <c r="AI8" s="41">
        <f>SUMPRODUCT($A8:$E8,H8:L8)</f>
        <v>30772.85</v>
      </c>
      <c r="AJ8" s="41">
        <f t="shared" ref="AJ8:AZ8" si="4">SUMPRODUCT($A8:$E8,I8:M8)</f>
        <v>29925.600000000002</v>
      </c>
      <c r="AK8" s="41">
        <f t="shared" si="4"/>
        <v>34097.450000000004</v>
      </c>
      <c r="AL8" s="41">
        <f t="shared" si="4"/>
        <v>31229.65</v>
      </c>
      <c r="AM8" s="41">
        <f t="shared" si="4"/>
        <v>35852.800000000003</v>
      </c>
      <c r="AN8" s="41">
        <f t="shared" si="4"/>
        <v>36355</v>
      </c>
      <c r="AO8" s="41">
        <f t="shared" si="4"/>
        <v>38985.800000000003</v>
      </c>
      <c r="AP8" s="41">
        <f t="shared" si="4"/>
        <v>35354.449999999997</v>
      </c>
      <c r="AQ8" s="41">
        <f t="shared" si="4"/>
        <v>33491.9</v>
      </c>
      <c r="AR8" s="41">
        <f t="shared" si="4"/>
        <v>39625.15</v>
      </c>
      <c r="AS8" s="41">
        <f t="shared" si="4"/>
        <v>40509.350000000006</v>
      </c>
      <c r="AT8" s="41">
        <f t="shared" si="4"/>
        <v>36817.15</v>
      </c>
      <c r="AU8" s="41">
        <f t="shared" si="4"/>
        <v>33604.050000000003</v>
      </c>
      <c r="AV8" s="41">
        <f t="shared" si="4"/>
        <v>29844.75</v>
      </c>
      <c r="AW8" s="41">
        <f t="shared" si="4"/>
        <v>32050.800000000003</v>
      </c>
      <c r="AX8" s="41">
        <f t="shared" si="4"/>
        <v>35775.199999999997</v>
      </c>
      <c r="AY8" s="41">
        <f t="shared" si="4"/>
        <v>33968.050000000003</v>
      </c>
      <c r="AZ8" s="41">
        <f t="shared" si="4"/>
        <v>37469.5</v>
      </c>
      <c r="BA8" s="44">
        <f t="shared" si="2"/>
        <v>37469.5</v>
      </c>
      <c r="BB8" s="44">
        <f t="shared" si="2"/>
        <v>37469.5</v>
      </c>
      <c r="BC8" s="57" t="str">
        <f t="shared" ref="BC8:BR10" si="5">IF(AD8="","",POWER(H8-AD8,2))</f>
        <v/>
      </c>
      <c r="BD8" s="57" t="str">
        <f t="shared" si="5"/>
        <v/>
      </c>
      <c r="BE8" s="57" t="str">
        <f t="shared" si="5"/>
        <v/>
      </c>
      <c r="BF8" s="57" t="str">
        <f t="shared" si="5"/>
        <v/>
      </c>
      <c r="BG8" s="57" t="str">
        <f t="shared" si="5"/>
        <v/>
      </c>
      <c r="BH8" s="57">
        <f t="shared" si="5"/>
        <v>3880309.0224999944</v>
      </c>
      <c r="BI8" s="57">
        <f t="shared" si="5"/>
        <v>107462248.95999995</v>
      </c>
      <c r="BJ8" s="57">
        <f t="shared" si="5"/>
        <v>61143798.302500069</v>
      </c>
      <c r="BK8" s="57">
        <f t="shared" si="5"/>
        <v>127924017.12249997</v>
      </c>
      <c r="BL8" s="57">
        <f t="shared" si="5"/>
        <v>1740288.6399999922</v>
      </c>
      <c r="BM8" s="57">
        <f t="shared" si="5"/>
        <v>27899524</v>
      </c>
      <c r="BN8" s="57">
        <f t="shared" si="5"/>
        <v>60323182.240000047</v>
      </c>
      <c r="BO8" s="57">
        <f t="shared" si="5"/>
        <v>44601694.402499959</v>
      </c>
      <c r="BP8" s="57">
        <f t="shared" si="5"/>
        <v>263708368.80999994</v>
      </c>
      <c r="BQ8" s="57">
        <f t="shared" si="5"/>
        <v>2556321.3224999951</v>
      </c>
      <c r="BR8" s="57">
        <f t="shared" si="5"/>
        <v>61690813.922500089</v>
      </c>
      <c r="BS8" s="57">
        <f t="shared" ref="BS8:BX10" si="6">IF(AT8="","",POWER(X8-AT8,2))</f>
        <v>68511212.122500017</v>
      </c>
      <c r="BT8" s="57">
        <f t="shared" si="6"/>
        <v>139571777.40250006</v>
      </c>
      <c r="BU8" s="57">
        <f t="shared" si="6"/>
        <v>56118826.5625</v>
      </c>
      <c r="BV8" s="57">
        <f t="shared" si="6"/>
        <v>111982956.83999994</v>
      </c>
      <c r="BW8" s="57">
        <f t="shared" si="6"/>
        <v>16680689.639999976</v>
      </c>
      <c r="BX8" s="57">
        <f t="shared" si="6"/>
        <v>83355987.002499953</v>
      </c>
      <c r="BY8" s="58">
        <f t="shared" ref="BY8:BY10" si="7">SQRT(AVERAGE(BC8:BX8))</f>
        <v>8537.6399008949156</v>
      </c>
      <c r="BZ8" s="59">
        <f t="shared" ref="BZ8:BZ10" si="8">BY8/AZ8</f>
        <v>0.22785572000947213</v>
      </c>
      <c r="CA8" s="59">
        <f t="shared" ref="CA8:CA10" si="9">BY8/AVERAGE(H8:AC8)</f>
        <v>0.24907450142114104</v>
      </c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</row>
    <row r="9" spans="1:145" s="25" customFormat="1" ht="12.75">
      <c r="A9" s="61" t="s">
        <v>76</v>
      </c>
      <c r="B9" s="49"/>
      <c r="C9" s="49"/>
      <c r="D9" s="49"/>
      <c r="E9" s="49"/>
      <c r="F9" s="62"/>
      <c r="G9" s="63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2"/>
      <c r="AE9" s="62"/>
      <c r="AF9" s="62"/>
      <c r="AG9" s="62"/>
      <c r="AH9" s="62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5"/>
      <c r="BB9" s="65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6"/>
      <c r="BZ9" s="67"/>
      <c r="CA9" s="67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</row>
    <row r="10" spans="1:145" s="25" customFormat="1" ht="12.75">
      <c r="A10" s="38">
        <v>3</v>
      </c>
      <c r="B10" s="38"/>
      <c r="C10" s="38"/>
      <c r="D10" s="38"/>
      <c r="E10" s="38"/>
      <c r="F10" s="42" t="s">
        <v>79</v>
      </c>
      <c r="G10" s="40" t="s">
        <v>22</v>
      </c>
      <c r="H10" s="41">
        <v>29802</v>
      </c>
      <c r="I10" s="41">
        <v>27904</v>
      </c>
      <c r="J10" s="41">
        <v>27833</v>
      </c>
      <c r="K10" s="41">
        <v>29818</v>
      </c>
      <c r="L10" s="41">
        <v>33432</v>
      </c>
      <c r="M10" s="41">
        <v>28803</v>
      </c>
      <c r="N10" s="41">
        <v>40292</v>
      </c>
      <c r="O10" s="41">
        <v>26278</v>
      </c>
      <c r="P10" s="41">
        <v>42540</v>
      </c>
      <c r="Q10" s="41">
        <v>37172</v>
      </c>
      <c r="R10" s="41">
        <v>41637</v>
      </c>
      <c r="S10" s="41">
        <v>31219</v>
      </c>
      <c r="T10" s="41">
        <v>28676</v>
      </c>
      <c r="U10" s="41">
        <v>49731</v>
      </c>
      <c r="V10" s="41">
        <v>41224</v>
      </c>
      <c r="W10" s="41">
        <v>32655</v>
      </c>
      <c r="X10" s="41">
        <v>28540</v>
      </c>
      <c r="Y10" s="41">
        <v>21790</v>
      </c>
      <c r="Z10" s="41">
        <v>37336</v>
      </c>
      <c r="AA10" s="41">
        <v>42633</v>
      </c>
      <c r="AB10" s="41">
        <v>31691</v>
      </c>
      <c r="AC10" s="41">
        <v>43098</v>
      </c>
      <c r="AD10" s="42"/>
      <c r="AE10" s="42"/>
      <c r="AF10" s="42"/>
      <c r="AG10" s="43">
        <f>AVERAGE(H10:J10)</f>
        <v>28513</v>
      </c>
      <c r="AH10" s="43">
        <f t="shared" ref="AH10:AZ10" si="10">AVERAGE(I10:K10)</f>
        <v>28518.333333333332</v>
      </c>
      <c r="AI10" s="43">
        <f t="shared" si="10"/>
        <v>30361</v>
      </c>
      <c r="AJ10" s="43">
        <f t="shared" si="10"/>
        <v>30684.333333333332</v>
      </c>
      <c r="AK10" s="43">
        <f t="shared" si="10"/>
        <v>34175.666666666664</v>
      </c>
      <c r="AL10" s="43">
        <f t="shared" si="10"/>
        <v>31791</v>
      </c>
      <c r="AM10" s="43">
        <f t="shared" si="10"/>
        <v>36370</v>
      </c>
      <c r="AN10" s="43">
        <f t="shared" si="10"/>
        <v>35330</v>
      </c>
      <c r="AO10" s="43">
        <f t="shared" si="10"/>
        <v>40449.666666666664</v>
      </c>
      <c r="AP10" s="43">
        <f t="shared" si="10"/>
        <v>36676</v>
      </c>
      <c r="AQ10" s="43">
        <f t="shared" si="10"/>
        <v>33844</v>
      </c>
      <c r="AR10" s="43">
        <f t="shared" si="10"/>
        <v>36542</v>
      </c>
      <c r="AS10" s="43">
        <f t="shared" si="10"/>
        <v>39877</v>
      </c>
      <c r="AT10" s="43">
        <f t="shared" si="10"/>
        <v>41203.333333333336</v>
      </c>
      <c r="AU10" s="43">
        <f t="shared" si="10"/>
        <v>34139.666666666664</v>
      </c>
      <c r="AV10" s="43">
        <f t="shared" si="10"/>
        <v>27661.666666666668</v>
      </c>
      <c r="AW10" s="43">
        <f t="shared" si="10"/>
        <v>29222</v>
      </c>
      <c r="AX10" s="43">
        <f t="shared" si="10"/>
        <v>33919.666666666664</v>
      </c>
      <c r="AY10" s="43">
        <f t="shared" si="10"/>
        <v>37220</v>
      </c>
      <c r="AZ10" s="43">
        <f t="shared" si="10"/>
        <v>39140.666666666664</v>
      </c>
      <c r="BA10" s="44">
        <f t="shared" si="2"/>
        <v>39140.666666666664</v>
      </c>
      <c r="BB10" s="44">
        <f t="shared" si="2"/>
        <v>39140.666666666664</v>
      </c>
      <c r="BC10" s="57" t="str">
        <f t="shared" si="5"/>
        <v/>
      </c>
      <c r="BD10" s="57" t="str">
        <f t="shared" si="5"/>
        <v/>
      </c>
      <c r="BE10" s="57" t="str">
        <f t="shared" si="5"/>
        <v/>
      </c>
      <c r="BF10" s="57">
        <f t="shared" si="5"/>
        <v>1703025</v>
      </c>
      <c r="BG10" s="57">
        <f t="shared" si="5"/>
        <v>24144120.111111123</v>
      </c>
      <c r="BH10" s="57">
        <f t="shared" si="5"/>
        <v>2427364</v>
      </c>
      <c r="BI10" s="57">
        <f t="shared" si="5"/>
        <v>92307258.777777806</v>
      </c>
      <c r="BJ10" s="57">
        <f t="shared" si="5"/>
        <v>62373138.777777739</v>
      </c>
      <c r="BK10" s="57">
        <f t="shared" si="5"/>
        <v>115541001</v>
      </c>
      <c r="BL10" s="57">
        <f t="shared" si="5"/>
        <v>643204</v>
      </c>
      <c r="BM10" s="57">
        <f t="shared" si="5"/>
        <v>39778249</v>
      </c>
      <c r="BN10" s="57">
        <f t="shared" si="5"/>
        <v>85205207.11111106</v>
      </c>
      <c r="BO10" s="57">
        <f t="shared" si="5"/>
        <v>64000000</v>
      </c>
      <c r="BP10" s="57">
        <f t="shared" si="5"/>
        <v>252396769</v>
      </c>
      <c r="BQ10" s="57">
        <f t="shared" si="5"/>
        <v>21921124</v>
      </c>
      <c r="BR10" s="57">
        <f t="shared" si="5"/>
        <v>52157284</v>
      </c>
      <c r="BS10" s="57">
        <f t="shared" si="6"/>
        <v>160360011.11111116</v>
      </c>
      <c r="BT10" s="57">
        <f t="shared" si="6"/>
        <v>152514266.77777773</v>
      </c>
      <c r="BU10" s="57">
        <f t="shared" si="6"/>
        <v>93592725.444444418</v>
      </c>
      <c r="BV10" s="57">
        <f t="shared" si="6"/>
        <v>179854921</v>
      </c>
      <c r="BW10" s="57">
        <f t="shared" si="6"/>
        <v>4966955.1111111008</v>
      </c>
      <c r="BX10" s="57">
        <f t="shared" si="6"/>
        <v>34550884</v>
      </c>
      <c r="BY10" s="58">
        <f t="shared" si="7"/>
        <v>8707.0374084845025</v>
      </c>
      <c r="BZ10" s="68">
        <f t="shared" si="8"/>
        <v>0.22245501035115658</v>
      </c>
      <c r="CA10" s="68">
        <f t="shared" si="9"/>
        <v>0.25401645262014133</v>
      </c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</row>
    <row r="11" spans="1:145" s="55" customFormat="1" ht="12.75">
      <c r="A11" s="49" t="s">
        <v>28</v>
      </c>
      <c r="B11" s="49" t="s">
        <v>29</v>
      </c>
      <c r="C11" s="49" t="s">
        <v>30</v>
      </c>
      <c r="D11" s="69" t="s">
        <v>31</v>
      </c>
      <c r="E11" s="69"/>
      <c r="F11" s="50"/>
      <c r="G11" s="50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0"/>
      <c r="AE11" s="50"/>
      <c r="AF11" s="50"/>
      <c r="AG11" s="50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2"/>
      <c r="BB11" s="52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3"/>
      <c r="BZ11" s="54"/>
      <c r="CA11" s="54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</row>
    <row r="12" spans="1:145" s="25" customFormat="1" ht="12.75">
      <c r="A12" s="70">
        <f>SLOPE($H$12:$AC$12,$H$1:$AC$1)</f>
        <v>337.23207227555054</v>
      </c>
      <c r="B12" s="70">
        <f>INTERCEPT($H$12:$AC$12,$H$1:$AC$1)</f>
        <v>30399.285714285714</v>
      </c>
      <c r="C12" s="70" cm="1">
        <f t="array" ref="C12:D12">LINEST(H12:AC12,$H$1:$AC$1)</f>
        <v>337.23207227555048</v>
      </c>
      <c r="D12" s="70">
        <v>30399.285714285714</v>
      </c>
      <c r="E12" s="38"/>
      <c r="F12" s="42" t="s">
        <v>80</v>
      </c>
      <c r="G12" s="40" t="s">
        <v>22</v>
      </c>
      <c r="H12" s="41">
        <v>29802</v>
      </c>
      <c r="I12" s="41">
        <v>27904</v>
      </c>
      <c r="J12" s="41">
        <v>27833</v>
      </c>
      <c r="K12" s="41">
        <v>29818</v>
      </c>
      <c r="L12" s="41">
        <v>33432</v>
      </c>
      <c r="M12" s="41">
        <v>28803</v>
      </c>
      <c r="N12" s="41">
        <v>40292</v>
      </c>
      <c r="O12" s="41">
        <v>26278</v>
      </c>
      <c r="P12" s="41">
        <v>42540</v>
      </c>
      <c r="Q12" s="41">
        <v>37172</v>
      </c>
      <c r="R12" s="41">
        <v>41637</v>
      </c>
      <c r="S12" s="41">
        <v>31219</v>
      </c>
      <c r="T12" s="41">
        <v>28676</v>
      </c>
      <c r="U12" s="41">
        <v>49731</v>
      </c>
      <c r="V12" s="41">
        <v>41224</v>
      </c>
      <c r="W12" s="41">
        <v>32655</v>
      </c>
      <c r="X12" s="41">
        <v>28540</v>
      </c>
      <c r="Y12" s="41">
        <v>21790</v>
      </c>
      <c r="Z12" s="41">
        <v>37336</v>
      </c>
      <c r="AA12" s="41">
        <v>42633</v>
      </c>
      <c r="AB12" s="41">
        <v>31691</v>
      </c>
      <c r="AC12" s="41">
        <v>43098</v>
      </c>
      <c r="AD12" s="43">
        <f t="shared" ref="AD12:BB12" si="11">$C$12*AD$1+$D$12</f>
        <v>30736.517786561264</v>
      </c>
      <c r="AE12" s="43">
        <f t="shared" si="11"/>
        <v>31073.749858836814</v>
      </c>
      <c r="AF12" s="43">
        <f t="shared" si="11"/>
        <v>31410.981931112365</v>
      </c>
      <c r="AG12" s="43">
        <f t="shared" si="11"/>
        <v>31748.214003387915</v>
      </c>
      <c r="AH12" s="43">
        <f t="shared" si="11"/>
        <v>32085.446075663465</v>
      </c>
      <c r="AI12" s="43">
        <f t="shared" si="11"/>
        <v>32422.678147939016</v>
      </c>
      <c r="AJ12" s="43">
        <f t="shared" si="11"/>
        <v>32759.910220214566</v>
      </c>
      <c r="AK12" s="43">
        <f t="shared" si="11"/>
        <v>33097.14229249012</v>
      </c>
      <c r="AL12" s="43">
        <f t="shared" si="11"/>
        <v>33434.374364765667</v>
      </c>
      <c r="AM12" s="43">
        <f t="shared" si="11"/>
        <v>33771.60643704122</v>
      </c>
      <c r="AN12" s="43">
        <f t="shared" si="11"/>
        <v>34108.838509316767</v>
      </c>
      <c r="AO12" s="43">
        <f t="shared" si="11"/>
        <v>34446.070581592321</v>
      </c>
      <c r="AP12" s="43">
        <f t="shared" si="11"/>
        <v>34783.302653867868</v>
      </c>
      <c r="AQ12" s="43">
        <f t="shared" si="11"/>
        <v>35120.534726143422</v>
      </c>
      <c r="AR12" s="43">
        <f t="shared" si="11"/>
        <v>35457.766798418968</v>
      </c>
      <c r="AS12" s="43">
        <f t="shared" si="11"/>
        <v>35794.998870694522</v>
      </c>
      <c r="AT12" s="43">
        <f t="shared" si="11"/>
        <v>36132.230942970069</v>
      </c>
      <c r="AU12" s="43">
        <f t="shared" si="11"/>
        <v>36469.463015245623</v>
      </c>
      <c r="AV12" s="43">
        <f t="shared" si="11"/>
        <v>36806.695087521177</v>
      </c>
      <c r="AW12" s="43">
        <f t="shared" si="11"/>
        <v>37143.927159796724</v>
      </c>
      <c r="AX12" s="43">
        <f t="shared" si="11"/>
        <v>37481.15923207227</v>
      </c>
      <c r="AY12" s="43">
        <f t="shared" si="11"/>
        <v>37818.391304347824</v>
      </c>
      <c r="AZ12" s="43">
        <f t="shared" si="11"/>
        <v>38155.623376623378</v>
      </c>
      <c r="BA12" s="43">
        <f t="shared" si="11"/>
        <v>38492.855448898925</v>
      </c>
      <c r="BB12" s="43">
        <f t="shared" si="11"/>
        <v>38830.087521174471</v>
      </c>
      <c r="BC12" s="57">
        <f t="shared" ref="BC12:BR12" si="12">IF(AD12="","",POWER(H12-AD12,2))</f>
        <v>873323.49339936429</v>
      </c>
      <c r="BD12" s="57">
        <f t="shared" si="12"/>
        <v>10047314.167596005</v>
      </c>
      <c r="BE12" s="57">
        <f t="shared" si="12"/>
        <v>12801954.699366566</v>
      </c>
      <c r="BF12" s="57">
        <f t="shared" si="12"/>
        <v>3725726.0988748018</v>
      </c>
      <c r="BG12" s="57">
        <f t="shared" si="12"/>
        <v>1813207.4711461221</v>
      </c>
      <c r="BH12" s="57">
        <f t="shared" si="12"/>
        <v>13102069.894667223</v>
      </c>
      <c r="BI12" s="57">
        <f t="shared" si="12"/>
        <v>56732376.45074819</v>
      </c>
      <c r="BJ12" s="57">
        <f t="shared" si="12"/>
        <v>46500701.605227411</v>
      </c>
      <c r="BK12" s="57">
        <f t="shared" si="12"/>
        <v>82912418.209036663</v>
      </c>
      <c r="BL12" s="57">
        <f t="shared" si="12"/>
        <v>11562676.383011503</v>
      </c>
      <c r="BM12" s="57">
        <f t="shared" si="12"/>
        <v>56673215.429805994</v>
      </c>
      <c r="BN12" s="57">
        <f t="shared" si="12"/>
        <v>10413984.538578602</v>
      </c>
      <c r="BO12" s="57">
        <f t="shared" si="12"/>
        <v>37299145.705941498</v>
      </c>
      <c r="BP12" s="57">
        <f t="shared" si="12"/>
        <v>213465695.51856899</v>
      </c>
      <c r="BQ12" s="57">
        <f t="shared" si="12"/>
        <v>33249445.335015435</v>
      </c>
      <c r="BR12" s="57">
        <f t="shared" si="12"/>
        <v>9859592.9079628754</v>
      </c>
      <c r="BS12" s="57">
        <f t="shared" ref="BS12:BX12" si="13">IF(AT12="","",POWER(X12-AT12,2))</f>
        <v>57641970.691392183</v>
      </c>
      <c r="BT12" s="57">
        <f t="shared" si="13"/>
        <v>215486634.41596413</v>
      </c>
      <c r="BU12" s="57">
        <f t="shared" si="13"/>
        <v>280163.69037421455</v>
      </c>
      <c r="BV12" s="57">
        <f t="shared" si="13"/>
        <v>30129920.645057265</v>
      </c>
      <c r="BW12" s="57">
        <f t="shared" si="13"/>
        <v>33525943.932751741</v>
      </c>
      <c r="BX12" s="57">
        <f t="shared" si="13"/>
        <v>27874267.97920607</v>
      </c>
      <c r="BY12" s="58">
        <f t="shared" ref="BY12" si="14">SQRT(AVERAGE(BC12:BX12))</f>
        <v>6626.2966115857898</v>
      </c>
      <c r="BZ12" s="68">
        <f t="shared" ref="BZ12" si="15">BY12/AZ12</f>
        <v>0.17366500728292361</v>
      </c>
      <c r="CA12" s="71">
        <f t="shared" ref="CA12" si="16">BY12/AVERAGE(H12:AC12)</f>
        <v>0.19331355549750084</v>
      </c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</row>
    <row r="13" spans="1:145" s="25" customFormat="1" ht="12.75">
      <c r="A13" s="69" t="s">
        <v>28</v>
      </c>
      <c r="B13" s="69" t="s">
        <v>29</v>
      </c>
      <c r="C13" s="69"/>
      <c r="D13" s="69"/>
      <c r="E13" s="69"/>
      <c r="F13" s="50"/>
      <c r="G13" s="50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0"/>
      <c r="AE13" s="50"/>
      <c r="AF13" s="50"/>
      <c r="AG13" s="50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2"/>
      <c r="BB13" s="52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3"/>
      <c r="BZ13" s="54"/>
      <c r="CA13" s="54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</row>
    <row r="14" spans="1:145" s="25" customFormat="1" ht="12.75">
      <c r="A14" s="38" cm="1">
        <f t="array" ref="A14:B14">LINEST(H14:AC14,LN($H$1:$AC$1))</f>
        <v>3021.7383914491616</v>
      </c>
      <c r="B14" s="38">
        <v>27619.85320137567</v>
      </c>
      <c r="C14" s="42"/>
      <c r="D14" s="42"/>
      <c r="E14" s="38"/>
      <c r="F14" s="42" t="s">
        <v>81</v>
      </c>
      <c r="G14" s="40" t="s">
        <v>22</v>
      </c>
      <c r="H14" s="41">
        <v>29802</v>
      </c>
      <c r="I14" s="41">
        <v>27904</v>
      </c>
      <c r="J14" s="41">
        <v>27833</v>
      </c>
      <c r="K14" s="41">
        <v>29818</v>
      </c>
      <c r="L14" s="41">
        <v>33432</v>
      </c>
      <c r="M14" s="41">
        <v>28803</v>
      </c>
      <c r="N14" s="41">
        <v>40292</v>
      </c>
      <c r="O14" s="41">
        <v>26278</v>
      </c>
      <c r="P14" s="41">
        <v>42540</v>
      </c>
      <c r="Q14" s="41">
        <v>37172</v>
      </c>
      <c r="R14" s="41">
        <v>41637</v>
      </c>
      <c r="S14" s="41">
        <v>31219</v>
      </c>
      <c r="T14" s="41">
        <v>28676</v>
      </c>
      <c r="U14" s="41">
        <v>49731</v>
      </c>
      <c r="V14" s="41">
        <v>41224</v>
      </c>
      <c r="W14" s="41">
        <v>32655</v>
      </c>
      <c r="X14" s="41">
        <v>28540</v>
      </c>
      <c r="Y14" s="41">
        <v>21790</v>
      </c>
      <c r="Z14" s="41">
        <v>37336</v>
      </c>
      <c r="AA14" s="41">
        <v>42633</v>
      </c>
      <c r="AB14" s="41">
        <v>31691</v>
      </c>
      <c r="AC14" s="41">
        <v>43098</v>
      </c>
      <c r="AD14" s="43">
        <f t="shared" ref="AD14:BB14" si="17">$A$14*LN(AD$1)+$B$14</f>
        <v>27619.85320137567</v>
      </c>
      <c r="AE14" s="43">
        <f t="shared" si="17"/>
        <v>29714.3626477984</v>
      </c>
      <c r="AF14" s="43">
        <f t="shared" si="17"/>
        <v>30939.572131361925</v>
      </c>
      <c r="AG14" s="43">
        <f t="shared" si="17"/>
        <v>31808.872094221129</v>
      </c>
      <c r="AH14" s="43">
        <f t="shared" si="17"/>
        <v>32483.153530031585</v>
      </c>
      <c r="AI14" s="43">
        <f t="shared" si="17"/>
        <v>33034.081577784658</v>
      </c>
      <c r="AJ14" s="43">
        <f t="shared" si="17"/>
        <v>33499.88460508667</v>
      </c>
      <c r="AK14" s="43">
        <f t="shared" si="17"/>
        <v>33903.381540643859</v>
      </c>
      <c r="AL14" s="43">
        <f t="shared" si="17"/>
        <v>34259.29106134818</v>
      </c>
      <c r="AM14" s="43">
        <f t="shared" si="17"/>
        <v>34577.662976454318</v>
      </c>
      <c r="AN14" s="43">
        <f t="shared" si="17"/>
        <v>34865.665405864966</v>
      </c>
      <c r="AO14" s="43">
        <f t="shared" si="17"/>
        <v>35128.591024207388</v>
      </c>
      <c r="AP14" s="43">
        <f t="shared" si="17"/>
        <v>35370.459146940055</v>
      </c>
      <c r="AQ14" s="43">
        <f t="shared" si="17"/>
        <v>35594.3940515094</v>
      </c>
      <c r="AR14" s="43">
        <f t="shared" si="17"/>
        <v>35802.872460017839</v>
      </c>
      <c r="AS14" s="43">
        <f t="shared" si="17"/>
        <v>35997.890987066596</v>
      </c>
      <c r="AT14" s="43">
        <f t="shared" si="17"/>
        <v>36181.082734276402</v>
      </c>
      <c r="AU14" s="43">
        <f t="shared" si="17"/>
        <v>36353.800507770909</v>
      </c>
      <c r="AV14" s="43">
        <f t="shared" si="17"/>
        <v>36517.177506002277</v>
      </c>
      <c r="AW14" s="43">
        <f t="shared" si="17"/>
        <v>36672.172422877047</v>
      </c>
      <c r="AX14" s="43">
        <f t="shared" si="17"/>
        <v>36819.603535072929</v>
      </c>
      <c r="AY14" s="43">
        <f t="shared" si="17"/>
        <v>36960.174852287702</v>
      </c>
      <c r="AZ14" s="43">
        <f t="shared" si="17"/>
        <v>37094.496449815568</v>
      </c>
      <c r="BA14" s="43">
        <f t="shared" si="17"/>
        <v>37223.100470630117</v>
      </c>
      <c r="BB14" s="43">
        <f t="shared" si="17"/>
        <v>37346.453858687499</v>
      </c>
      <c r="BC14" s="57">
        <f t="shared" ref="BC14:BR22" si="18">IF(AD14="","",POWER(H14-AD14,2))</f>
        <v>4761764.6507464107</v>
      </c>
      <c r="BD14" s="57">
        <f t="shared" si="18"/>
        <v>3277412.9165436332</v>
      </c>
      <c r="BE14" s="57">
        <f t="shared" si="18"/>
        <v>9650790.4073545747</v>
      </c>
      <c r="BF14" s="57">
        <f t="shared" si="18"/>
        <v>3963571.6955484254</v>
      </c>
      <c r="BG14" s="57">
        <f t="shared" si="18"/>
        <v>900309.62357152312</v>
      </c>
      <c r="BH14" s="57">
        <f t="shared" si="18"/>
        <v>17902051.317868713</v>
      </c>
      <c r="BI14" s="57">
        <f t="shared" si="18"/>
        <v>46132831.537818655</v>
      </c>
      <c r="BJ14" s="57">
        <f t="shared" si="18"/>
        <v>58146443.64039211</v>
      </c>
      <c r="BK14" s="57">
        <f t="shared" si="18"/>
        <v>68570140.526668146</v>
      </c>
      <c r="BL14" s="57">
        <f t="shared" si="18"/>
        <v>6730584.5917398706</v>
      </c>
      <c r="BM14" s="57">
        <f t="shared" si="18"/>
        <v>45850972.185729869</v>
      </c>
      <c r="BN14" s="57">
        <f t="shared" si="18"/>
        <v>15284901.976562971</v>
      </c>
      <c r="BO14" s="57">
        <f t="shared" si="18"/>
        <v>44815783.270049363</v>
      </c>
      <c r="BP14" s="57">
        <f t="shared" si="18"/>
        <v>199843627.74289981</v>
      </c>
      <c r="BQ14" s="57">
        <f t="shared" si="18"/>
        <v>29388623.804753032</v>
      </c>
      <c r="BR14" s="57">
        <f t="shared" si="18"/>
        <v>11174920.151411079</v>
      </c>
      <c r="BS14" s="57">
        <f t="shared" ref="BS14:BX20" si="19">IF(AT14="","",POWER(X14-AT14,2))</f>
        <v>58386145.352056943</v>
      </c>
      <c r="BT14" s="57">
        <f t="shared" si="19"/>
        <v>212104285.2301482</v>
      </c>
      <c r="BU14" s="57">
        <f t="shared" si="19"/>
        <v>670470.27667665051</v>
      </c>
      <c r="BV14" s="57">
        <f t="shared" si="19"/>
        <v>35531465.40418949</v>
      </c>
      <c r="BW14" s="57">
        <f t="shared" si="19"/>
        <v>26302574.219962545</v>
      </c>
      <c r="BX14" s="57">
        <f t="shared" si="19"/>
        <v>37672897.543889485</v>
      </c>
      <c r="BY14" s="58">
        <f t="shared" ref="BY14:BY22" si="20">SQRT(AVERAGE(BC14:BX14))</f>
        <v>6526.3889781360349</v>
      </c>
      <c r="BZ14" s="68">
        <f t="shared" ref="BZ14:BZ20" si="21">BY14/AZ14</f>
        <v>0.17593954906398207</v>
      </c>
      <c r="CA14" s="71">
        <f t="shared" ref="CA14:CA20" si="22">BY14/AVERAGE(H14:AC14)</f>
        <v>0.19039888068355662</v>
      </c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</row>
    <row r="15" spans="1:145" s="55" customFormat="1" ht="12.75">
      <c r="A15" s="49" t="s">
        <v>47</v>
      </c>
      <c r="B15" s="49"/>
      <c r="C15" s="49"/>
      <c r="D15" s="49"/>
      <c r="E15" s="49"/>
      <c r="F15" s="50"/>
      <c r="G15" s="50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0"/>
      <c r="AE15" s="50"/>
      <c r="AF15" s="50"/>
      <c r="AG15" s="50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2"/>
      <c r="BB15" s="52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3"/>
      <c r="BZ15" s="54"/>
      <c r="CA15" s="54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</row>
    <row r="16" spans="1:145" s="25" customFormat="1" ht="12.75">
      <c r="A16" s="38">
        <v>0.14566363427568679</v>
      </c>
      <c r="B16" s="42"/>
      <c r="C16" s="38"/>
      <c r="D16" s="38"/>
      <c r="E16" s="38"/>
      <c r="F16" s="39" t="s">
        <v>82</v>
      </c>
      <c r="G16" s="40" t="s">
        <v>22</v>
      </c>
      <c r="H16" s="41">
        <v>29802</v>
      </c>
      <c r="I16" s="41">
        <v>27904</v>
      </c>
      <c r="J16" s="41">
        <v>27833</v>
      </c>
      <c r="K16" s="41">
        <v>29818</v>
      </c>
      <c r="L16" s="41">
        <v>33432</v>
      </c>
      <c r="M16" s="41">
        <v>28803</v>
      </c>
      <c r="N16" s="41">
        <v>40292</v>
      </c>
      <c r="O16" s="41">
        <v>26278</v>
      </c>
      <c r="P16" s="41">
        <v>42540</v>
      </c>
      <c r="Q16" s="41">
        <v>37172</v>
      </c>
      <c r="R16" s="41">
        <v>41637</v>
      </c>
      <c r="S16" s="41">
        <v>31219</v>
      </c>
      <c r="T16" s="41">
        <v>28676</v>
      </c>
      <c r="U16" s="41">
        <v>49731</v>
      </c>
      <c r="V16" s="41">
        <v>41224</v>
      </c>
      <c r="W16" s="41">
        <v>32655</v>
      </c>
      <c r="X16" s="41">
        <v>28540</v>
      </c>
      <c r="Y16" s="41">
        <v>21790</v>
      </c>
      <c r="Z16" s="41">
        <v>37336</v>
      </c>
      <c r="AA16" s="41">
        <v>42633</v>
      </c>
      <c r="AB16" s="41">
        <v>31691</v>
      </c>
      <c r="AC16" s="41">
        <v>43098</v>
      </c>
      <c r="AD16" s="42"/>
      <c r="AE16" s="43">
        <f>H16</f>
        <v>29802</v>
      </c>
      <c r="AF16" s="43">
        <f t="shared" ref="AF16:AZ16" si="23">$A$16*I16+(1-$A$16)*AE16</f>
        <v>29525.530422144748</v>
      </c>
      <c r="AG16" s="43">
        <f t="shared" si="23"/>
        <v>29278.990289732981</v>
      </c>
      <c r="AH16" s="43">
        <f t="shared" si="23"/>
        <v>29357.504403040362</v>
      </c>
      <c r="AI16" s="43">
        <f t="shared" si="23"/>
        <v>29951.010239533789</v>
      </c>
      <c r="AJ16" s="43">
        <f t="shared" si="23"/>
        <v>29783.7868958576</v>
      </c>
      <c r="AK16" s="43">
        <f t="shared" si="23"/>
        <v>31314.451406350381</v>
      </c>
      <c r="AL16" s="43">
        <f t="shared" si="23"/>
        <v>30580.823590648492</v>
      </c>
      <c r="AM16" s="43">
        <f t="shared" si="23"/>
        <v>32322.840689378692</v>
      </c>
      <c r="AN16" s="43">
        <f t="shared" si="23"/>
        <v>33029.186857745575</v>
      </c>
      <c r="AO16" s="43">
        <f t="shared" si="23"/>
        <v>34283.03220321238</v>
      </c>
      <c r="AP16" s="43">
        <f t="shared" si="23"/>
        <v>33836.714136954724</v>
      </c>
      <c r="AQ16" s="43">
        <f t="shared" si="23"/>
        <v>33084.985760307987</v>
      </c>
      <c r="AR16" s="43">
        <f t="shared" si="23"/>
        <v>35509.70469066636</v>
      </c>
      <c r="AS16" s="43">
        <f t="shared" si="23"/>
        <v>36342.069712748409</v>
      </c>
      <c r="AT16" s="43">
        <f t="shared" si="23"/>
        <v>35804.997738561666</v>
      </c>
      <c r="AU16" s="43">
        <f t="shared" si="23"/>
        <v>34746.751764958128</v>
      </c>
      <c r="AV16" s="43">
        <f t="shared" si="23"/>
        <v>32859.424214466409</v>
      </c>
      <c r="AW16" s="43">
        <f t="shared" si="23"/>
        <v>33511.498512497776</v>
      </c>
      <c r="AX16" s="43">
        <f t="shared" si="23"/>
        <v>34840.169569218437</v>
      </c>
      <c r="AY16" s="43">
        <f t="shared" si="23"/>
        <v>34381.450084815682</v>
      </c>
      <c r="AZ16" s="43">
        <f t="shared" si="23"/>
        <v>35651.134423806863</v>
      </c>
      <c r="BA16" s="44">
        <f>AZ16</f>
        <v>35651.134423806863</v>
      </c>
      <c r="BB16" s="44">
        <f>BA16</f>
        <v>35651.134423806863</v>
      </c>
      <c r="BC16" s="57" t="str">
        <f t="shared" si="18"/>
        <v/>
      </c>
      <c r="BD16" s="57">
        <f t="shared" si="18"/>
        <v>3602404</v>
      </c>
      <c r="BE16" s="57">
        <f t="shared" si="18"/>
        <v>2864659.229885478</v>
      </c>
      <c r="BF16" s="57">
        <f t="shared" si="18"/>
        <v>290531.46776213555</v>
      </c>
      <c r="BG16" s="57">
        <f t="shared" si="18"/>
        <v>16601514.369643474</v>
      </c>
      <c r="BH16" s="57">
        <f t="shared" si="18"/>
        <v>1317927.5100744276</v>
      </c>
      <c r="BI16" s="57">
        <f t="shared" si="18"/>
        <v>110422542.64207006</v>
      </c>
      <c r="BJ16" s="57">
        <f t="shared" si="18"/>
        <v>25365842.768528733</v>
      </c>
      <c r="BK16" s="57">
        <f t="shared" si="18"/>
        <v>143021900.38998964</v>
      </c>
      <c r="BL16" s="57">
        <f t="shared" si="18"/>
        <v>23514346.019785315</v>
      </c>
      <c r="BM16" s="57">
        <f t="shared" si="18"/>
        <v>74094447.091968</v>
      </c>
      <c r="BN16" s="57">
        <f t="shared" si="18"/>
        <v>9388293.3423225135</v>
      </c>
      <c r="BO16" s="57">
        <f t="shared" si="18"/>
        <v>26632970.403364345</v>
      </c>
      <c r="BP16" s="57">
        <f t="shared" si="18"/>
        <v>277089790.06802928</v>
      </c>
      <c r="BQ16" s="57">
        <f t="shared" si="18"/>
        <v>32653170.882272441</v>
      </c>
      <c r="BR16" s="57">
        <f t="shared" si="18"/>
        <v>13594483.066666637</v>
      </c>
      <c r="BS16" s="57">
        <f t="shared" si="19"/>
        <v>52780192.141306117</v>
      </c>
      <c r="BT16" s="57">
        <f t="shared" si="19"/>
        <v>167877416.29874557</v>
      </c>
      <c r="BU16" s="57">
        <f t="shared" si="19"/>
        <v>20039730.763625681</v>
      </c>
      <c r="BV16" s="57">
        <f t="shared" si="19"/>
        <v>83201789.386505291</v>
      </c>
      <c r="BW16" s="57">
        <f t="shared" si="19"/>
        <v>9917268.975691434</v>
      </c>
      <c r="BX16" s="57">
        <f t="shared" si="19"/>
        <v>75978242.42389974</v>
      </c>
      <c r="BY16" s="58">
        <f t="shared" si="20"/>
        <v>7464.9959756380449</v>
      </c>
      <c r="BZ16" s="59">
        <f t="shared" si="21"/>
        <v>0.20939013852678759</v>
      </c>
      <c r="CA16" s="59">
        <f t="shared" si="22"/>
        <v>0.21778151483619898</v>
      </c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</row>
    <row r="17" spans="1:145" s="55" customFormat="1" ht="12.75">
      <c r="A17" s="49" t="s">
        <v>47</v>
      </c>
      <c r="B17" s="49" t="s">
        <v>48</v>
      </c>
      <c r="C17" s="49"/>
      <c r="D17" s="49"/>
      <c r="E17" s="49"/>
      <c r="F17" s="50"/>
      <c r="G17" s="50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0"/>
      <c r="AE17" s="50"/>
      <c r="AF17" s="50"/>
      <c r="AG17" s="50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2"/>
      <c r="BB17" s="52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3"/>
      <c r="BZ17" s="54"/>
      <c r="CA17" s="54"/>
      <c r="CB17" s="25" t="s">
        <v>93</v>
      </c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25" t="s">
        <v>32</v>
      </c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</row>
    <row r="18" spans="1:145" s="25" customFormat="1" ht="12.75">
      <c r="A18" s="38">
        <v>9.0840251678292613E-2</v>
      </c>
      <c r="B18" s="38">
        <v>9.9927818449344591E-2</v>
      </c>
      <c r="C18" s="38"/>
      <c r="D18" s="38"/>
      <c r="E18" s="38"/>
      <c r="F18" s="42" t="s">
        <v>55</v>
      </c>
      <c r="G18" s="40" t="s">
        <v>22</v>
      </c>
      <c r="H18" s="41">
        <v>29802</v>
      </c>
      <c r="I18" s="41">
        <v>27904</v>
      </c>
      <c r="J18" s="41">
        <v>27833</v>
      </c>
      <c r="K18" s="41">
        <v>29818</v>
      </c>
      <c r="L18" s="41">
        <v>33432</v>
      </c>
      <c r="M18" s="41">
        <v>28803</v>
      </c>
      <c r="N18" s="41">
        <v>40292</v>
      </c>
      <c r="O18" s="41">
        <v>26278</v>
      </c>
      <c r="P18" s="41">
        <v>42540</v>
      </c>
      <c r="Q18" s="41">
        <v>37172</v>
      </c>
      <c r="R18" s="41">
        <v>41637</v>
      </c>
      <c r="S18" s="41">
        <v>31219</v>
      </c>
      <c r="T18" s="41">
        <v>28676</v>
      </c>
      <c r="U18" s="41">
        <v>49731</v>
      </c>
      <c r="V18" s="41">
        <v>41224</v>
      </c>
      <c r="W18" s="41">
        <v>32655</v>
      </c>
      <c r="X18" s="41">
        <v>28540</v>
      </c>
      <c r="Y18" s="41">
        <v>21790</v>
      </c>
      <c r="Z18" s="41">
        <v>37336</v>
      </c>
      <c r="AA18" s="41">
        <v>42633</v>
      </c>
      <c r="AB18" s="41">
        <v>31691</v>
      </c>
      <c r="AC18" s="41">
        <v>43098</v>
      </c>
      <c r="AD18" s="42"/>
      <c r="AE18" s="43">
        <f>CB18+CX18</f>
        <v>29802</v>
      </c>
      <c r="AF18" s="43">
        <f t="shared" ref="AF18:AY18" si="24">CC18+CY18</f>
        <v>29612.356167713511</v>
      </c>
      <c r="AG18" s="43">
        <f t="shared" si="24"/>
        <v>29417.337922022973</v>
      </c>
      <c r="AH18" s="43">
        <f t="shared" si="24"/>
        <v>29423.99007969704</v>
      </c>
      <c r="AI18" s="43">
        <f t="shared" si="24"/>
        <v>29794.717205766203</v>
      </c>
      <c r="AJ18" s="43">
        <f t="shared" si="24"/>
        <v>29702.265580003928</v>
      </c>
      <c r="AK18" s="43">
        <f t="shared" si="24"/>
        <v>30758.003911932636</v>
      </c>
      <c r="AL18" s="43">
        <f t="shared" si="24"/>
        <v>30404.136328116831</v>
      </c>
      <c r="AM18" s="43">
        <f t="shared" si="24"/>
        <v>31669.821253757258</v>
      </c>
      <c r="AN18" s="43">
        <f t="shared" si="24"/>
        <v>32382.846423674509</v>
      </c>
      <c r="AO18" s="43">
        <f t="shared" si="24"/>
        <v>33520.706216046819</v>
      </c>
      <c r="AP18" s="43">
        <f t="shared" si="24"/>
        <v>33587.935131590617</v>
      </c>
      <c r="AQ18" s="43">
        <f t="shared" si="24"/>
        <v>33373.462260661006</v>
      </c>
      <c r="AR18" s="43">
        <f t="shared" si="24"/>
        <v>35239.598686684018</v>
      </c>
      <c r="AS18" s="43">
        <f t="shared" si="24"/>
        <v>36217.76000155745</v>
      </c>
      <c r="AT18" s="43">
        <f t="shared" si="24"/>
        <v>36296.313939235966</v>
      </c>
      <c r="AU18" s="43">
        <f t="shared" si="24"/>
        <v>35923.516688830365</v>
      </c>
      <c r="AV18" s="43">
        <f t="shared" si="24"/>
        <v>34843.116187667656</v>
      </c>
      <c r="AW18" s="43">
        <f t="shared" si="24"/>
        <v>35295.691166011566</v>
      </c>
      <c r="AX18" s="43">
        <f t="shared" si="24"/>
        <v>36254.93912000909</v>
      </c>
      <c r="AY18" s="43">
        <f t="shared" si="24"/>
        <v>36091.64570245333</v>
      </c>
      <c r="AZ18" s="72">
        <f>$CW18+(AZ$1-$AY$1)*$DS18</f>
        <v>37043.000609117</v>
      </c>
      <c r="BA18" s="72">
        <f>$CW$18+(BA1-$AY$1)*$DS$18</f>
        <v>37357.896528044243</v>
      </c>
      <c r="BB18" s="72">
        <f>$CW$18+(BB1-$AY$1)*$DS$18</f>
        <v>37672.792446971485</v>
      </c>
      <c r="BC18" s="57" t="str">
        <f t="shared" si="18"/>
        <v/>
      </c>
      <c r="BD18" s="57">
        <f t="shared" si="18"/>
        <v>3602404</v>
      </c>
      <c r="BE18" s="57">
        <f t="shared" si="18"/>
        <v>3166108.3715801132</v>
      </c>
      <c r="BF18" s="57">
        <f t="shared" si="18"/>
        <v>160530.10072886955</v>
      </c>
      <c r="BG18" s="57">
        <f t="shared" si="18"/>
        <v>16064143.521246944</v>
      </c>
      <c r="BH18" s="57">
        <f t="shared" si="18"/>
        <v>983503.01621272508</v>
      </c>
      <c r="BI18" s="57">
        <f t="shared" si="18"/>
        <v>112142475.08604954</v>
      </c>
      <c r="BJ18" s="57">
        <f t="shared" si="18"/>
        <v>20070435.050931718</v>
      </c>
      <c r="BK18" s="57">
        <f t="shared" si="18"/>
        <v>147279187.06253365</v>
      </c>
      <c r="BL18" s="57">
        <f t="shared" si="18"/>
        <v>30273970.95560535</v>
      </c>
      <c r="BM18" s="57">
        <f t="shared" si="18"/>
        <v>85639358.414217874</v>
      </c>
      <c r="BN18" s="57">
        <f t="shared" si="18"/>
        <v>5297851.5049885679</v>
      </c>
      <c r="BO18" s="57">
        <f t="shared" si="18"/>
        <v>24127106.73695413</v>
      </c>
      <c r="BP18" s="57">
        <f t="shared" si="18"/>
        <v>267569040.89389944</v>
      </c>
      <c r="BQ18" s="57">
        <f t="shared" si="18"/>
        <v>35813059.078818053</v>
      </c>
      <c r="BR18" s="57">
        <f t="shared" si="18"/>
        <v>12693258.82869764</v>
      </c>
      <c r="BS18" s="57">
        <f t="shared" si="19"/>
        <v>60160405.923986152</v>
      </c>
      <c r="BT18" s="57">
        <f t="shared" si="19"/>
        <v>199756293.99344644</v>
      </c>
      <c r="BU18" s="57">
        <f t="shared" si="19"/>
        <v>6214469.7017886415</v>
      </c>
      <c r="BV18" s="57">
        <f t="shared" si="19"/>
        <v>53836100.925324716</v>
      </c>
      <c r="BW18" s="57">
        <f t="shared" si="19"/>
        <v>20829540.291149352</v>
      </c>
      <c r="BX18" s="57">
        <f t="shared" si="19"/>
        <v>49089000.542750686</v>
      </c>
      <c r="BY18" s="58">
        <f t="shared" si="20"/>
        <v>7415.4544028025266</v>
      </c>
      <c r="BZ18" s="68">
        <f t="shared" si="21"/>
        <v>0.20018503579263067</v>
      </c>
      <c r="CA18" s="68">
        <f t="shared" si="22"/>
        <v>0.21633620410666909</v>
      </c>
      <c r="CB18" s="73">
        <f>H18</f>
        <v>29802</v>
      </c>
      <c r="CC18" s="74">
        <f t="shared" ref="CC18:CW18" si="25">$A$18*I18+(1-$A$18)*(CB18+CX18)</f>
        <v>29629.5852023146</v>
      </c>
      <c r="CD18" s="74">
        <f t="shared" si="25"/>
        <v>29450.719005613097</v>
      </c>
      <c r="CE18" s="74">
        <f t="shared" si="25"/>
        <v>29453.734166024355</v>
      </c>
      <c r="CF18" s="74">
        <f t="shared" si="25"/>
        <v>29788.078709586458</v>
      </c>
      <c r="CG18" s="74">
        <f t="shared" si="25"/>
        <v>29704.629365200708</v>
      </c>
      <c r="CH18" s="74">
        <f t="shared" si="25"/>
        <v>30664.239719922651</v>
      </c>
      <c r="CI18" s="74">
        <f t="shared" si="25"/>
        <v>30351.039229052942</v>
      </c>
      <c r="CJ18" s="74">
        <f t="shared" si="25"/>
        <v>31506.561238404145</v>
      </c>
      <c r="CK18" s="74">
        <f t="shared" si="25"/>
        <v>32169.640555844904</v>
      </c>
      <c r="CL18" s="74">
        <f t="shared" si="25"/>
        <v>33223.496063617487</v>
      </c>
      <c r="CM18" s="74">
        <f t="shared" si="25"/>
        <v>33311.618644091635</v>
      </c>
      <c r="CN18" s="74">
        <f t="shared" si="25"/>
        <v>33141.73370800948</v>
      </c>
      <c r="CO18" s="74">
        <f t="shared" si="25"/>
        <v>34859.385105739733</v>
      </c>
      <c r="CP18" s="74">
        <f t="shared" si="25"/>
        <v>35783.223208129544</v>
      </c>
      <c r="CQ18" s="74">
        <f t="shared" si="25"/>
        <v>35894.117986346624</v>
      </c>
      <c r="CR18" s="74">
        <f t="shared" si="25"/>
        <v>35591.728428899922</v>
      </c>
      <c r="CS18" s="74">
        <f t="shared" si="25"/>
        <v>34639.624475717668</v>
      </c>
      <c r="CT18" s="74">
        <f t="shared" si="25"/>
        <v>35069.570380584672</v>
      </c>
      <c r="CU18" s="74">
        <f t="shared" si="25"/>
        <v>35962.214147132436</v>
      </c>
      <c r="CV18" s="74">
        <f t="shared" si="25"/>
        <v>35840.349741703067</v>
      </c>
      <c r="CW18" s="74">
        <f t="shared" si="25"/>
        <v>36728.104690189757</v>
      </c>
      <c r="CX18" s="42">
        <v>0</v>
      </c>
      <c r="CY18" s="43">
        <f>$B$18*(CC18-CB18)+(1-$B$18)*CX18</f>
        <v>-17.22903460108714</v>
      </c>
      <c r="CZ18" s="43">
        <f t="shared" ref="CZ18:DS18" si="26">$B$18*(CD18-CC18)+(1-$B$18)*CY18</f>
        <v>-33.381083590124803</v>
      </c>
      <c r="DA18" s="43">
        <f t="shared" si="26"/>
        <v>-29.744086327316577</v>
      </c>
      <c r="DB18" s="43">
        <f t="shared" si="26"/>
        <v>6.6384961797439992</v>
      </c>
      <c r="DC18" s="43">
        <f t="shared" si="26"/>
        <v>-2.3637851967781867</v>
      </c>
      <c r="DD18" s="43">
        <f t="shared" si="26"/>
        <v>93.764192009984171</v>
      </c>
      <c r="DE18" s="43">
        <f t="shared" si="26"/>
        <v>53.097099063887093</v>
      </c>
      <c r="DF18" s="43">
        <f t="shared" si="26"/>
        <v>163.26001535311303</v>
      </c>
      <c r="DG18" s="43">
        <f t="shared" si="26"/>
        <v>213.20586782960544</v>
      </c>
      <c r="DH18" s="43">
        <f t="shared" si="26"/>
        <v>297.21015242933424</v>
      </c>
      <c r="DI18" s="43">
        <f t="shared" si="26"/>
        <v>276.3164874989821</v>
      </c>
      <c r="DJ18" s="43">
        <f t="shared" si="26"/>
        <v>231.72855265152711</v>
      </c>
      <c r="DK18" s="43">
        <f t="shared" si="26"/>
        <v>380.21358094428763</v>
      </c>
      <c r="DL18" s="43">
        <f t="shared" si="26"/>
        <v>434.5367934279077</v>
      </c>
      <c r="DM18" s="43">
        <f t="shared" si="26"/>
        <v>402.19595288934005</v>
      </c>
      <c r="DN18" s="43">
        <f t="shared" si="26"/>
        <v>331.78825993044114</v>
      </c>
      <c r="DO18" s="43">
        <f t="shared" si="26"/>
        <v>203.49171194998854</v>
      </c>
      <c r="DP18" s="43">
        <f t="shared" si="26"/>
        <v>226.12078542689284</v>
      </c>
      <c r="DQ18" s="43">
        <f t="shared" si="26"/>
        <v>292.72497287665522</v>
      </c>
      <c r="DR18" s="43">
        <f t="shared" si="26"/>
        <v>251.29596075026416</v>
      </c>
      <c r="DS18" s="43">
        <f t="shared" si="26"/>
        <v>314.89591892724337</v>
      </c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</row>
    <row r="19" spans="1:145" s="55" customFormat="1" ht="12.75">
      <c r="A19" s="49" t="s">
        <v>47</v>
      </c>
      <c r="B19" s="49" t="s">
        <v>48</v>
      </c>
      <c r="C19" s="49" t="s">
        <v>49</v>
      </c>
      <c r="D19" s="49"/>
      <c r="E19" s="49"/>
      <c r="F19" s="50"/>
      <c r="G19" s="50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0"/>
      <c r="AE19" s="50"/>
      <c r="AF19" s="50"/>
      <c r="AG19" s="50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2"/>
      <c r="BB19" s="52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3"/>
      <c r="BZ19" s="54"/>
      <c r="CA19" s="54"/>
      <c r="CB19" s="25" t="s">
        <v>93</v>
      </c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25" t="s">
        <v>32</v>
      </c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25" t="s">
        <v>33</v>
      </c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</row>
    <row r="20" spans="1:145" s="25" customFormat="1" ht="12.75">
      <c r="A20" s="75">
        <v>0.13543800964064925</v>
      </c>
      <c r="B20" s="75">
        <v>0.19041769340094111</v>
      </c>
      <c r="C20" s="75">
        <v>0.5</v>
      </c>
      <c r="D20" s="38"/>
      <c r="E20" s="38"/>
      <c r="F20" s="39" t="s">
        <v>83</v>
      </c>
      <c r="G20" s="40" t="s">
        <v>22</v>
      </c>
      <c r="H20" s="41">
        <v>29802</v>
      </c>
      <c r="I20" s="41">
        <v>27904</v>
      </c>
      <c r="J20" s="41">
        <v>27833</v>
      </c>
      <c r="K20" s="41">
        <v>29818</v>
      </c>
      <c r="L20" s="41">
        <v>33432</v>
      </c>
      <c r="M20" s="41">
        <v>28803</v>
      </c>
      <c r="N20" s="41">
        <v>40292</v>
      </c>
      <c r="O20" s="41">
        <v>26278</v>
      </c>
      <c r="P20" s="41">
        <v>42540</v>
      </c>
      <c r="Q20" s="41">
        <v>37172</v>
      </c>
      <c r="R20" s="41">
        <v>41637</v>
      </c>
      <c r="S20" s="41">
        <v>31219</v>
      </c>
      <c r="T20" s="41">
        <v>28676</v>
      </c>
      <c r="U20" s="41">
        <v>49731</v>
      </c>
      <c r="V20" s="41">
        <v>41224</v>
      </c>
      <c r="W20" s="41">
        <v>32655</v>
      </c>
      <c r="X20" s="41">
        <v>28540</v>
      </c>
      <c r="Y20" s="41">
        <v>21790</v>
      </c>
      <c r="Z20" s="41">
        <v>37336</v>
      </c>
      <c r="AA20" s="41">
        <v>42633</v>
      </c>
      <c r="AB20" s="41">
        <v>31691</v>
      </c>
      <c r="AC20" s="41">
        <v>43098</v>
      </c>
      <c r="AD20" s="76"/>
      <c r="AE20" s="76"/>
      <c r="AF20" s="76"/>
      <c r="AG20" s="76"/>
      <c r="AH20" s="76"/>
      <c r="AI20" s="77"/>
      <c r="AJ20" s="77"/>
      <c r="AK20" s="77"/>
      <c r="AL20" s="77"/>
      <c r="AM20" s="77"/>
      <c r="AN20" s="77"/>
      <c r="AO20" s="77"/>
      <c r="AP20" s="77"/>
      <c r="AQ20" s="41">
        <f>(CN20+DJ20)*DT20</f>
        <v>28786.990739293728</v>
      </c>
      <c r="AR20" s="41">
        <f t="shared" ref="AR20:AY20" si="27">(CO20+DK20)*DU20</f>
        <v>29675.612007894833</v>
      </c>
      <c r="AS20" s="41">
        <f t="shared" si="27"/>
        <v>31112.180118248987</v>
      </c>
      <c r="AT20" s="41">
        <f t="shared" si="27"/>
        <v>33155.367704253338</v>
      </c>
      <c r="AU20" s="41">
        <f t="shared" si="27"/>
        <v>35687.533994872028</v>
      </c>
      <c r="AV20" s="41">
        <f t="shared" si="27"/>
        <v>29029.151306715372</v>
      </c>
      <c r="AW20" s="41">
        <f t="shared" si="27"/>
        <v>39375.633742231104</v>
      </c>
      <c r="AX20" s="41">
        <f t="shared" si="27"/>
        <v>27898.674997539099</v>
      </c>
      <c r="AY20" s="41">
        <f t="shared" si="27"/>
        <v>42865.654123246677</v>
      </c>
      <c r="AZ20" s="72">
        <f>($CW20+(AZ$1-$AY$1)*$DS20)*ED20</f>
        <v>42511.335805026203</v>
      </c>
      <c r="BA20" s="72">
        <f>($CW20+(BA$1-$AY$1)*$DS20)*EE20</f>
        <v>31649.444918223278</v>
      </c>
      <c r="BB20" s="72">
        <f>($CW20+(BB$1-$AY$1)*$DS20)*EF20</f>
        <v>29431.299621660364</v>
      </c>
      <c r="BC20" s="57" t="str">
        <f t="shared" si="18"/>
        <v/>
      </c>
      <c r="BD20" s="57" t="str">
        <f t="shared" si="18"/>
        <v/>
      </c>
      <c r="BE20" s="57" t="str">
        <f t="shared" si="18"/>
        <v/>
      </c>
      <c r="BF20" s="57" t="str">
        <f t="shared" si="18"/>
        <v/>
      </c>
      <c r="BG20" s="57" t="str">
        <f t="shared" si="18"/>
        <v/>
      </c>
      <c r="BH20" s="57" t="str">
        <f t="shared" si="18"/>
        <v/>
      </c>
      <c r="BI20" s="57" t="str">
        <f t="shared" si="18"/>
        <v/>
      </c>
      <c r="BJ20" s="57" t="str">
        <f t="shared" si="18"/>
        <v/>
      </c>
      <c r="BK20" s="57" t="str">
        <f t="shared" si="18"/>
        <v/>
      </c>
      <c r="BL20" s="57" t="str">
        <f t="shared" si="18"/>
        <v/>
      </c>
      <c r="BM20" s="57" t="str">
        <f t="shared" si="18"/>
        <v/>
      </c>
      <c r="BN20" s="57" t="str">
        <f t="shared" si="18"/>
        <v/>
      </c>
      <c r="BO20" s="57" t="str">
        <f t="shared" si="18"/>
        <v/>
      </c>
      <c r="BP20" s="57">
        <f t="shared" si="18"/>
        <v>438651523.91255009</v>
      </c>
      <c r="BQ20" s="57">
        <f t="shared" si="18"/>
        <v>133365265.2161988</v>
      </c>
      <c r="BR20" s="57">
        <f t="shared" si="18"/>
        <v>2380293.1875262093</v>
      </c>
      <c r="BS20" s="57">
        <f t="shared" si="19"/>
        <v>21301619.045464728</v>
      </c>
      <c r="BT20" s="57">
        <f t="shared" si="19"/>
        <v>193141451.13862368</v>
      </c>
      <c r="BU20" s="57">
        <f t="shared" si="19"/>
        <v>69003735.213124529</v>
      </c>
      <c r="BV20" s="57">
        <f t="shared" si="19"/>
        <v>10610434.937251339</v>
      </c>
      <c r="BW20" s="57">
        <f t="shared" si="19"/>
        <v>14381728.92429007</v>
      </c>
      <c r="BX20" s="57">
        <f t="shared" si="19"/>
        <v>53984.606444270343</v>
      </c>
      <c r="BY20" s="58">
        <f t="shared" si="20"/>
        <v>9904.4885233439818</v>
      </c>
      <c r="BZ20" s="68">
        <f t="shared" si="21"/>
        <v>0.23298464599583232</v>
      </c>
      <c r="CA20" s="68">
        <f t="shared" si="22"/>
        <v>0.28895052607275334</v>
      </c>
      <c r="CB20" s="76"/>
      <c r="CC20" s="76"/>
      <c r="CD20" s="76"/>
      <c r="CE20" s="76"/>
      <c r="CF20" s="76"/>
      <c r="CG20" s="77"/>
      <c r="CH20" s="77"/>
      <c r="CI20" s="77"/>
      <c r="CJ20" s="77"/>
      <c r="CK20" s="77"/>
      <c r="CL20" s="77"/>
      <c r="CM20" s="77"/>
      <c r="CN20" s="78">
        <f>AVERAGE(H20:S20)</f>
        <v>33060.833333333336</v>
      </c>
      <c r="CO20" s="74">
        <f t="shared" ref="CO20:CW20" si="28">$A$20*U20/DU20+(1-$A$20)*(CN20+DJ20)</f>
        <v>35589.867181299545</v>
      </c>
      <c r="CP20" s="74">
        <f t="shared" si="28"/>
        <v>37029.869410616389</v>
      </c>
      <c r="CQ20" s="74">
        <f t="shared" si="28"/>
        <v>36854.417227115628</v>
      </c>
      <c r="CR20" s="74">
        <f t="shared" si="28"/>
        <v>35604.782931833586</v>
      </c>
      <c r="CS20" s="74">
        <f t="shared" si="28"/>
        <v>33898.99669396886</v>
      </c>
      <c r="CT20" s="74">
        <f t="shared" si="28"/>
        <v>32956.754901860157</v>
      </c>
      <c r="CU20" s="74">
        <f t="shared" si="28"/>
        <v>35197.606840412693</v>
      </c>
      <c r="CV20" s="74">
        <f t="shared" si="28"/>
        <v>33681.727351464906</v>
      </c>
      <c r="CW20" s="74">
        <f t="shared" si="28"/>
        <v>33993.482953968778</v>
      </c>
      <c r="CX20" s="76"/>
      <c r="CY20" s="76"/>
      <c r="CZ20" s="76"/>
      <c r="DA20" s="76"/>
      <c r="DB20" s="76"/>
      <c r="DC20" s="77"/>
      <c r="DD20" s="77"/>
      <c r="DE20" s="77"/>
      <c r="DF20" s="77"/>
      <c r="DG20" s="77"/>
      <c r="DH20" s="77"/>
      <c r="DI20" s="77"/>
      <c r="DJ20" s="78">
        <f>T20-H20</f>
        <v>-1126</v>
      </c>
      <c r="DK20" s="43">
        <f>$B$20*(CO20-CN20)+(1-$B$20)*DJ20</f>
        <v>-430.01688536790823</v>
      </c>
      <c r="DL20" s="43">
        <f t="shared" ref="DL20:DS20" si="29">$B$20*(CP20-CO20)+(1-$B$20)*DK20</f>
        <v>-73.932158933967742</v>
      </c>
      <c r="DM20" s="43">
        <f t="shared" si="29"/>
        <v>-93.263367845983524</v>
      </c>
      <c r="DN20" s="43">
        <f t="shared" si="29"/>
        <v>-313.45685256426475</v>
      </c>
      <c r="DO20" s="43">
        <f t="shared" si="29"/>
        <v>-578.5810025675288</v>
      </c>
      <c r="DP20" s="43">
        <f t="shared" si="29"/>
        <v>-647.8284512923243</v>
      </c>
      <c r="DQ20" s="43">
        <f t="shared" si="29"/>
        <v>-97.772594485534626</v>
      </c>
      <c r="DR20" s="43">
        <f t="shared" si="29"/>
        <v>-367.80523832500847</v>
      </c>
      <c r="DS20" s="43">
        <f t="shared" si="29"/>
        <v>-238.40483048876894</v>
      </c>
      <c r="DT20" s="79">
        <f t="shared" ref="DT20:EE20" si="30">H20/AVERAGE($H$20:$S$20)</f>
        <v>0.90142918357573154</v>
      </c>
      <c r="DU20" s="79">
        <f t="shared" si="30"/>
        <v>0.84401986237491489</v>
      </c>
      <c r="DV20" s="79">
        <f t="shared" si="30"/>
        <v>0.84187230610238695</v>
      </c>
      <c r="DW20" s="79">
        <f t="shared" si="30"/>
        <v>0.90191313991883637</v>
      </c>
      <c r="DX20" s="79">
        <f t="shared" si="30"/>
        <v>1.0112267789176517</v>
      </c>
      <c r="DY20" s="79">
        <f t="shared" si="30"/>
        <v>0.87121215940312047</v>
      </c>
      <c r="DZ20" s="79">
        <f t="shared" si="30"/>
        <v>1.21872306102387</v>
      </c>
      <c r="EA20" s="79">
        <f t="shared" si="30"/>
        <v>0.79483779900688123</v>
      </c>
      <c r="EB20" s="79">
        <f t="shared" si="30"/>
        <v>1.2867189272301061</v>
      </c>
      <c r="EC20" s="79">
        <f t="shared" si="30"/>
        <v>1.124351574118418</v>
      </c>
      <c r="ED20" s="79">
        <f t="shared" si="30"/>
        <v>1.2594056411161243</v>
      </c>
      <c r="EE20" s="79">
        <f t="shared" si="30"/>
        <v>0.94428956721195767</v>
      </c>
      <c r="EF20" s="80">
        <f t="shared" ref="EF20:EO20" si="31">$C$20*T20/CN20+(1-$C$20)*DT20</f>
        <v>0.8843999697527285</v>
      </c>
      <c r="EG20" s="80">
        <f t="shared" si="31"/>
        <v>1.1206778939907975</v>
      </c>
      <c r="EH20" s="80">
        <f t="shared" si="31"/>
        <v>0.9775678757137255</v>
      </c>
      <c r="EI20" s="80">
        <f t="shared" si="31"/>
        <v>0.8939835183814121</v>
      </c>
      <c r="EJ20" s="80">
        <f t="shared" si="31"/>
        <v>0.90640223929735275</v>
      </c>
      <c r="EK20" s="80">
        <f t="shared" si="31"/>
        <v>0.75700202242981163</v>
      </c>
      <c r="EL20" s="80">
        <f t="shared" si="31"/>
        <v>1.175800794802071</v>
      </c>
      <c r="EM20" s="80">
        <f t="shared" si="31"/>
        <v>1.0030424606918429</v>
      </c>
      <c r="EN20" s="80">
        <f t="shared" si="31"/>
        <v>1.1138074259375923</v>
      </c>
      <c r="EO20" s="80">
        <f t="shared" si="31"/>
        <v>1.1960914122741926</v>
      </c>
    </row>
    <row r="21" spans="1:145" s="55" customFormat="1" ht="12.75">
      <c r="A21" s="69" t="s">
        <v>34</v>
      </c>
      <c r="B21" s="69" t="s">
        <v>73</v>
      </c>
      <c r="C21" s="69"/>
      <c r="D21" s="69"/>
      <c r="E21" s="69"/>
      <c r="F21" s="50"/>
      <c r="G21" s="50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0"/>
      <c r="AE21" s="50"/>
      <c r="AF21" s="50"/>
      <c r="AG21" s="50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2"/>
      <c r="BB21" s="52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3"/>
      <c r="BZ21" s="54"/>
      <c r="CA21" s="54"/>
      <c r="CB21" s="50" t="s">
        <v>92</v>
      </c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</row>
    <row r="22" spans="1:145">
      <c r="A22" s="81">
        <f>MIN(CB22:CW22)</f>
        <v>8.1330216575369582E-2</v>
      </c>
      <c r="B22" s="75">
        <f>MATCH(A22,CB22:CW22,0)</f>
        <v>13</v>
      </c>
      <c r="C22" s="75"/>
      <c r="D22" s="38"/>
      <c r="E22" s="38"/>
      <c r="F22" s="42" t="s">
        <v>84</v>
      </c>
      <c r="G22" s="40" t="s">
        <v>22</v>
      </c>
      <c r="H22" s="41">
        <v>29802</v>
      </c>
      <c r="I22" s="41">
        <v>27904</v>
      </c>
      <c r="J22" s="41">
        <v>27833</v>
      </c>
      <c r="K22" s="41">
        <v>29818</v>
      </c>
      <c r="L22" s="41">
        <v>33432</v>
      </c>
      <c r="M22" s="41">
        <v>28803</v>
      </c>
      <c r="N22" s="41">
        <v>40292</v>
      </c>
      <c r="O22" s="41">
        <v>26278</v>
      </c>
      <c r="P22" s="41">
        <v>42540</v>
      </c>
      <c r="Q22" s="41">
        <v>37172</v>
      </c>
      <c r="R22" s="41">
        <v>41637</v>
      </c>
      <c r="S22" s="41">
        <v>31219</v>
      </c>
      <c r="T22" s="41">
        <v>28676</v>
      </c>
      <c r="U22" s="41">
        <v>49731</v>
      </c>
      <c r="V22" s="41">
        <v>41224</v>
      </c>
      <c r="W22" s="41">
        <v>32655</v>
      </c>
      <c r="X22" s="41">
        <v>28540</v>
      </c>
      <c r="Y22" s="41">
        <v>21790</v>
      </c>
      <c r="Z22" s="41">
        <v>37336</v>
      </c>
      <c r="AA22" s="41">
        <v>42633</v>
      </c>
      <c r="AB22" s="41">
        <v>31691</v>
      </c>
      <c r="AC22" s="41">
        <v>43098</v>
      </c>
      <c r="AD22" s="82">
        <f>_xlfn.FORECAST.ETS(AD$1,$H$22:$AC$22,$H$1:$AC$1,$B$22,1,7)</f>
        <v>43866.801591973286</v>
      </c>
      <c r="AE22" s="82">
        <f t="shared" ref="AE22:BB22" si="32">_xlfn.FORECAST.ETS(AE$1,$H$22:$AC$22,$H$1:$AC$1,$B$22,1,7)</f>
        <v>36643.64662186749</v>
      </c>
      <c r="AF22" s="82">
        <f t="shared" si="32"/>
        <v>29512.299218459317</v>
      </c>
      <c r="AG22" s="82">
        <f t="shared" si="32"/>
        <v>26148.994958133087</v>
      </c>
      <c r="AH22" s="82">
        <f t="shared" si="32"/>
        <v>20820.856163856472</v>
      </c>
      <c r="AI22" s="82">
        <f t="shared" si="32"/>
        <v>30328.845495577174</v>
      </c>
      <c r="AJ22" s="82">
        <f t="shared" si="32"/>
        <v>38449.108073931377</v>
      </c>
      <c r="AK22" s="82">
        <f t="shared" si="32"/>
        <v>26130.073104091149</v>
      </c>
      <c r="AL22" s="82">
        <f t="shared" si="32"/>
        <v>39775.134420527414</v>
      </c>
      <c r="AM22" s="82">
        <f t="shared" si="32"/>
        <v>35723.424856592334</v>
      </c>
      <c r="AN22" s="82">
        <f t="shared" si="32"/>
        <v>40014.448138176267</v>
      </c>
      <c r="AO22" s="82">
        <f t="shared" si="32"/>
        <v>29704.574747172876</v>
      </c>
      <c r="AP22" s="82">
        <f t="shared" si="32"/>
        <v>27004.718554743798</v>
      </c>
      <c r="AQ22" s="82">
        <f t="shared" si="32"/>
        <v>48098.73765005442</v>
      </c>
      <c r="AR22" s="82">
        <f t="shared" si="32"/>
        <v>40875.582679948617</v>
      </c>
      <c r="AS22" s="82">
        <f t="shared" si="32"/>
        <v>33744.235276540443</v>
      </c>
      <c r="AT22" s="82">
        <f t="shared" si="32"/>
        <v>30380.931016214221</v>
      </c>
      <c r="AU22" s="82">
        <f t="shared" si="32"/>
        <v>25052.792221937605</v>
      </c>
      <c r="AV22" s="82">
        <f t="shared" si="32"/>
        <v>34560.781553658308</v>
      </c>
      <c r="AW22" s="82">
        <f t="shared" si="32"/>
        <v>42681.04413201251</v>
      </c>
      <c r="AX22" s="82">
        <f t="shared" si="32"/>
        <v>30362.009162172275</v>
      </c>
      <c r="AY22" s="82">
        <f t="shared" si="32"/>
        <v>44007.070478608541</v>
      </c>
      <c r="AZ22" s="82">
        <f t="shared" si="32"/>
        <v>39955.360914673467</v>
      </c>
      <c r="BA22" s="82">
        <f t="shared" si="32"/>
        <v>44246.384196257401</v>
      </c>
      <c r="BB22" s="82">
        <f t="shared" si="32"/>
        <v>33936.510805254002</v>
      </c>
      <c r="BC22" s="57">
        <f t="shared" si="18"/>
        <v>197818643.82157427</v>
      </c>
      <c r="BD22" s="57">
        <f t="shared" si="18"/>
        <v>76381423.075119838</v>
      </c>
      <c r="BE22" s="57">
        <f t="shared" si="18"/>
        <v>2820045.8651180719</v>
      </c>
      <c r="BF22" s="57">
        <f t="shared" si="18"/>
        <v>13461597.997244824</v>
      </c>
      <c r="BG22" s="57">
        <f t="shared" si="18"/>
        <v>159040948.85590091</v>
      </c>
      <c r="BH22" s="57">
        <f t="shared" si="18"/>
        <v>2328204.4763731519</v>
      </c>
      <c r="BI22" s="57">
        <f t="shared" si="18"/>
        <v>3396250.6511689206</v>
      </c>
      <c r="BJ22" s="57">
        <f t="shared" si="18"/>
        <v>21882.366533228127</v>
      </c>
      <c r="BK22" s="57">
        <f t="shared" si="18"/>
        <v>7644481.6725522764</v>
      </c>
      <c r="BL22" s="57">
        <f t="shared" si="18"/>
        <v>2098369.9460985414</v>
      </c>
      <c r="BM22" s="57">
        <f t="shared" si="18"/>
        <v>2632674.5443076622</v>
      </c>
      <c r="BN22" s="57">
        <f t="shared" si="18"/>
        <v>2293483.8464004998</v>
      </c>
      <c r="BO22" s="57">
        <f t="shared" si="18"/>
        <v>2793181.6692576576</v>
      </c>
      <c r="BP22" s="57">
        <f t="shared" si="18"/>
        <v>2664280.3790498683</v>
      </c>
      <c r="BQ22" s="57">
        <f t="shared" si="18"/>
        <v>121394.62891178805</v>
      </c>
      <c r="BR22" s="57">
        <f t="shared" si="18"/>
        <v>1186433.4876601354</v>
      </c>
      <c r="BS22" s="57">
        <f t="shared" ref="BS22:BX22" si="33">IF(AT22="","",POWER(X22-AT22,2))</f>
        <v>3389027.0064595244</v>
      </c>
      <c r="BT22" s="57">
        <f t="shared" si="33"/>
        <v>10645813.083536534</v>
      </c>
      <c r="BU22" s="57">
        <f t="shared" si="33"/>
        <v>7701837.4249151973</v>
      </c>
      <c r="BV22" s="57">
        <f t="shared" si="33"/>
        <v>2308.2386208354969</v>
      </c>
      <c r="BW22" s="57">
        <f t="shared" si="33"/>
        <v>1766216.6470300385</v>
      </c>
      <c r="BX22" s="57">
        <f t="shared" si="33"/>
        <v>826409.13507756125</v>
      </c>
      <c r="BY22" s="58">
        <f t="shared" si="20"/>
        <v>4772.2441300946921</v>
      </c>
      <c r="BZ22" s="68">
        <f t="shared" ref="BZ22" si="34">BY22/AZ22</f>
        <v>0.11943939488585878</v>
      </c>
      <c r="CA22" s="68">
        <f t="shared" ref="CA22" si="35">BY22/AVERAGE(H22:AC22)</f>
        <v>0.13922399412028477</v>
      </c>
      <c r="CB22" s="83">
        <f>_xlfn.FORECAST.ETS.STAT($H$22:$AC$22,$H$1:$AC$1,5,H$1,1,7)</f>
        <v>0.17909718456901003</v>
      </c>
      <c r="CC22" s="83">
        <f t="shared" ref="CC22:CW22" si="36">_xlfn.FORECAST.ETS.STAT($H$22:$AC$22,$H$1:$AC$1,5,I$1,1,7)</f>
        <v>0.19242747466915897</v>
      </c>
      <c r="CD22" s="83">
        <f t="shared" si="36"/>
        <v>0.17945498261742293</v>
      </c>
      <c r="CE22" s="83">
        <f t="shared" si="36"/>
        <v>0.19373758273498165</v>
      </c>
      <c r="CF22" s="83">
        <f t="shared" si="36"/>
        <v>0.16591563265193238</v>
      </c>
      <c r="CG22" s="83">
        <f t="shared" si="36"/>
        <v>0.17470398788137351</v>
      </c>
      <c r="CH22" s="83">
        <f t="shared" si="36"/>
        <v>0.29385955973236855</v>
      </c>
      <c r="CI22" s="83">
        <f t="shared" si="36"/>
        <v>0.20771514272557054</v>
      </c>
      <c r="CJ22" s="83">
        <f t="shared" si="36"/>
        <v>0.18156201347789652</v>
      </c>
      <c r="CK22" s="83">
        <f t="shared" si="36"/>
        <v>0.16761097109715445</v>
      </c>
      <c r="CL22" s="83">
        <f t="shared" si="36"/>
        <v>0.11865004815939829</v>
      </c>
      <c r="CM22" s="83">
        <f t="shared" si="36"/>
        <v>0.14279187834928719</v>
      </c>
      <c r="CN22" s="83">
        <f t="shared" si="36"/>
        <v>8.1330216575369582E-2</v>
      </c>
      <c r="CO22" s="83">
        <f t="shared" si="36"/>
        <v>0.10863713123715599</v>
      </c>
      <c r="CP22" s="83">
        <f t="shared" si="36"/>
        <v>0.17909718456901003</v>
      </c>
      <c r="CQ22" s="83">
        <f t="shared" si="36"/>
        <v>0.17909718456901003</v>
      </c>
      <c r="CR22" s="83">
        <f t="shared" si="36"/>
        <v>0.17909718456901003</v>
      </c>
      <c r="CS22" s="83">
        <f t="shared" si="36"/>
        <v>0.17909718456901003</v>
      </c>
      <c r="CT22" s="83">
        <f t="shared" si="36"/>
        <v>0.17909718456901003</v>
      </c>
      <c r="CU22" s="83">
        <f t="shared" si="36"/>
        <v>0.17909718456901003</v>
      </c>
      <c r="CV22" s="83">
        <f t="shared" si="36"/>
        <v>0.17909718456901003</v>
      </c>
      <c r="CW22" s="83">
        <f t="shared" si="36"/>
        <v>0.17909718456901003</v>
      </c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</row>
    <row r="23" spans="1:145" s="55" customFormat="1">
      <c r="A23" s="85"/>
      <c r="B23" s="85"/>
      <c r="C23" s="85"/>
      <c r="D23" s="85"/>
      <c r="E23" s="85"/>
      <c r="F23" s="50"/>
      <c r="G23" s="50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0"/>
      <c r="AE23" s="50"/>
      <c r="AF23" s="50"/>
      <c r="AG23" s="50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2"/>
      <c r="BB23" s="52"/>
      <c r="BC23"/>
      <c r="BD23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/>
      <c r="CA23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</row>
    <row r="25" spans="1:145">
      <c r="A25" s="166"/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</row>
    <row r="26" spans="1:145">
      <c r="A26" s="166"/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</row>
    <row r="27" spans="1:145" ht="14.45" customHeight="1">
      <c r="A27" s="166"/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</row>
    <row r="28" spans="1:145">
      <c r="A28" s="166"/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</row>
    <row r="29" spans="1:145">
      <c r="A29" s="166"/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</row>
    <row r="30" spans="1:145">
      <c r="A30" s="166"/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</row>
    <row r="31" spans="1:145">
      <c r="A31" s="166"/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</row>
    <row r="32" spans="1:145">
      <c r="A32" s="166"/>
      <c r="B32" s="166"/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</row>
    <row r="33" spans="1:24">
      <c r="A33" s="166"/>
      <c r="B33" s="166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</row>
    <row r="34" spans="1:24">
      <c r="A34" s="166"/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</row>
    <row r="35" spans="1:24">
      <c r="A35" s="166"/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</row>
    <row r="36" spans="1:24">
      <c r="A36" s="166"/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</row>
    <row r="37" spans="1:24">
      <c r="A37" s="166"/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</row>
    <row r="38" spans="1:24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</row>
    <row r="39" spans="1:24">
      <c r="A39" s="166"/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</row>
    <row r="40" spans="1:24">
      <c r="A40" s="166"/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</row>
    <row r="41" spans="1:24">
      <c r="A41" s="166"/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</row>
    <row r="42" spans="1:24">
      <c r="A42" s="166"/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</row>
    <row r="43" spans="1:24">
      <c r="A43" s="166"/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</row>
    <row r="44" spans="1:24">
      <c r="A44" s="166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</row>
    <row r="45" spans="1:24">
      <c r="A45" s="166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</row>
    <row r="46" spans="1:24">
      <c r="A46" s="166"/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</row>
    <row r="47" spans="1:24">
      <c r="A47" s="166"/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</row>
    <row r="48" spans="1:24">
      <c r="A48" s="166"/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</row>
    <row r="49" spans="1:24" ht="14.45" customHeight="1">
      <c r="A49" s="166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</row>
    <row r="50" spans="1:24">
      <c r="A50" s="166"/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</row>
    <row r="51" spans="1:24">
      <c r="A51" s="166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</row>
    <row r="52" spans="1:24">
      <c r="A52" s="166"/>
      <c r="B52" s="166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</row>
    <row r="53" spans="1:24">
      <c r="A53" s="166"/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</row>
    <row r="54" spans="1:24">
      <c r="A54" s="166"/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</row>
    <row r="55" spans="1:24">
      <c r="A55" s="166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</row>
    <row r="56" spans="1:24">
      <c r="A56" s="166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</row>
    <row r="57" spans="1:24">
      <c r="A57" s="166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</row>
    <row r="58" spans="1:24">
      <c r="A58" s="166"/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</row>
    <row r="59" spans="1:24">
      <c r="A59" s="166"/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</row>
    <row r="60" spans="1:24">
      <c r="A60" s="166"/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</row>
    <row r="61" spans="1:24">
      <c r="A61" s="166"/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</row>
  </sheetData>
  <mergeCells count="24">
    <mergeCell ref="A2:E2"/>
    <mergeCell ref="H3:AC3"/>
    <mergeCell ref="AD3:AY3"/>
    <mergeCell ref="AZ3:BB3"/>
    <mergeCell ref="BC3:CA3"/>
    <mergeCell ref="H4:O4"/>
    <mergeCell ref="P4:AA4"/>
    <mergeCell ref="AB4:AC4"/>
    <mergeCell ref="AD4:AK4"/>
    <mergeCell ref="AL4:AW4"/>
    <mergeCell ref="AX4:AY4"/>
    <mergeCell ref="AZ4:BB4"/>
    <mergeCell ref="BC4:BJ4"/>
    <mergeCell ref="BK4:BV4"/>
    <mergeCell ref="BW4:BX4"/>
    <mergeCell ref="EN4:EO4"/>
    <mergeCell ref="CV4:CW4"/>
    <mergeCell ref="CX4:DE4"/>
    <mergeCell ref="DF4:DQ4"/>
    <mergeCell ref="DR4:DS4"/>
    <mergeCell ref="DT4:EA4"/>
    <mergeCell ref="EB4:EM4"/>
    <mergeCell ref="CJ4:CU4"/>
    <mergeCell ref="CB4:CI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42D1F-5800-487C-AB0E-13FA661F5416}">
  <dimension ref="A1:FU107"/>
  <sheetViews>
    <sheetView showGridLines="0" zoomScale="75" zoomScaleNormal="70" workbookViewId="0">
      <pane xSplit="8" ySplit="3" topLeftCell="I4" activePane="bottomRight" state="frozen"/>
      <selection activeCell="BQ54" sqref="BQ54"/>
      <selection pane="topRight" activeCell="BQ54" sqref="BQ54"/>
      <selection pane="bottomLeft" activeCell="BQ54" sqref="BQ54"/>
      <selection pane="bottomRight" activeCell="BH3" sqref="BH3"/>
    </sheetView>
  </sheetViews>
  <sheetFormatPr defaultColWidth="8.85546875" defaultRowHeight="12.75"/>
  <cols>
    <col min="1" max="1" width="10" style="25" bestFit="1" customWidth="1"/>
    <col min="2" max="2" width="11" style="25" bestFit="1" customWidth="1"/>
    <col min="3" max="4" width="6.28515625" style="25" bestFit="1" customWidth="1"/>
    <col min="5" max="5" width="11" style="25" bestFit="1" customWidth="1"/>
    <col min="6" max="6" width="3.7109375" style="27" bestFit="1" customWidth="1"/>
    <col min="7" max="7" width="18.7109375" style="25" bestFit="1" customWidth="1"/>
    <col min="8" max="8" width="9.42578125" style="25" customWidth="1"/>
    <col min="9" max="30" width="10.42578125" style="25" bestFit="1" customWidth="1"/>
    <col min="31" max="31" width="8.42578125" style="27" customWidth="1"/>
    <col min="32" max="32" width="11" style="27" bestFit="1" customWidth="1"/>
    <col min="33" max="33" width="8.42578125" style="27" customWidth="1"/>
    <col min="34" max="47" width="11" style="27" bestFit="1" customWidth="1"/>
    <col min="48" max="53" width="12" style="27" bestFit="1" customWidth="1"/>
    <col min="54" max="55" width="11.140625" style="27" customWidth="1"/>
    <col min="56" max="56" width="16" style="25" bestFit="1" customWidth="1"/>
    <col min="57" max="57" width="15" style="25" bestFit="1" customWidth="1"/>
    <col min="58" max="58" width="13.7109375" style="25" bestFit="1" customWidth="1"/>
    <col min="59" max="59" width="15" style="25" bestFit="1" customWidth="1"/>
    <col min="60" max="60" width="16" style="25" bestFit="1" customWidth="1"/>
    <col min="61" max="61" width="15" style="25" bestFit="1" customWidth="1"/>
    <col min="62" max="63" width="16" style="25" bestFit="1" customWidth="1"/>
    <col min="64" max="64" width="16.140625" style="25" bestFit="1" customWidth="1"/>
    <col min="65" max="68" width="15" style="25" bestFit="1" customWidth="1"/>
    <col min="69" max="69" width="16.140625" style="25" bestFit="1" customWidth="1"/>
    <col min="70" max="70" width="16" style="25" bestFit="1" customWidth="1"/>
    <col min="71" max="71" width="15" style="25" bestFit="1" customWidth="1"/>
    <col min="72" max="72" width="16" style="25" bestFit="1" customWidth="1"/>
    <col min="73" max="73" width="16.140625" style="25" bestFit="1" customWidth="1"/>
    <col min="74" max="75" width="16" style="25" bestFit="1" customWidth="1"/>
    <col min="76" max="77" width="15" style="25" bestFit="1" customWidth="1"/>
    <col min="78" max="78" width="12.42578125" style="25" bestFit="1" customWidth="1"/>
    <col min="79" max="79" width="9.85546875" style="25" bestFit="1" customWidth="1"/>
    <col min="80" max="105" width="8.85546875" style="25"/>
    <col min="106" max="125" width="10.42578125" style="25" bestFit="1" customWidth="1"/>
    <col min="126" max="148" width="8.85546875" style="25"/>
    <col min="149" max="149" width="9.7109375" style="25" bestFit="1" customWidth="1"/>
    <col min="150" max="16384" width="8.85546875" style="25"/>
  </cols>
  <sheetData>
    <row r="1" spans="1:177">
      <c r="F1" s="25"/>
      <c r="H1" s="25" t="s">
        <v>97</v>
      </c>
      <c r="M1" s="27"/>
      <c r="P1" s="25" t="s">
        <v>98</v>
      </c>
      <c r="AE1" s="25"/>
      <c r="AF1" s="25"/>
      <c r="AG1" s="25"/>
      <c r="AH1" s="25"/>
      <c r="AI1" s="25"/>
      <c r="AJ1" s="25"/>
      <c r="AK1" s="25"/>
      <c r="AL1" s="27" t="s">
        <v>94</v>
      </c>
      <c r="BD1" s="27"/>
      <c r="BE1" s="27"/>
      <c r="BF1" s="27"/>
      <c r="BG1" s="27"/>
      <c r="BH1" s="27"/>
      <c r="BI1" s="27"/>
      <c r="BJ1" s="27"/>
      <c r="BK1" s="25" t="s">
        <v>88</v>
      </c>
      <c r="CI1" s="25" t="s">
        <v>35</v>
      </c>
      <c r="DH1" s="25" t="s">
        <v>95</v>
      </c>
      <c r="ED1" s="25" t="s">
        <v>32</v>
      </c>
      <c r="EZ1" s="25" t="s">
        <v>96</v>
      </c>
    </row>
    <row r="2" spans="1:177" ht="14.45" customHeight="1">
      <c r="F2" s="25"/>
      <c r="M2" s="27"/>
      <c r="N2" s="29"/>
      <c r="O2" s="30"/>
      <c r="P2" s="192">
        <v>2022</v>
      </c>
      <c r="Q2" s="193"/>
      <c r="R2" s="193"/>
      <c r="S2" s="193"/>
      <c r="T2" s="193"/>
      <c r="U2" s="193"/>
      <c r="V2" s="193"/>
      <c r="W2" s="194"/>
      <c r="X2" s="192">
        <v>2023</v>
      </c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4"/>
      <c r="AJ2" s="192">
        <v>2024</v>
      </c>
      <c r="AK2" s="194"/>
      <c r="AL2" s="204">
        <v>2022</v>
      </c>
      <c r="AM2" s="205"/>
      <c r="AN2" s="205"/>
      <c r="AO2" s="205"/>
      <c r="AP2" s="205"/>
      <c r="AQ2" s="205"/>
      <c r="AR2" s="205"/>
      <c r="AS2" s="206"/>
      <c r="AT2" s="204">
        <v>2023</v>
      </c>
      <c r="AU2" s="205"/>
      <c r="AV2" s="205"/>
      <c r="AW2" s="205"/>
      <c r="AX2" s="205"/>
      <c r="AY2" s="205"/>
      <c r="AZ2" s="205"/>
      <c r="BA2" s="205"/>
      <c r="BB2" s="205"/>
      <c r="BC2" s="205"/>
      <c r="BD2" s="205"/>
      <c r="BE2" s="206"/>
      <c r="BF2" s="204">
        <v>2024</v>
      </c>
      <c r="BG2" s="206"/>
      <c r="BH2" s="207" t="s">
        <v>15</v>
      </c>
      <c r="BI2" s="208"/>
      <c r="BJ2" s="209"/>
      <c r="BK2" s="204">
        <v>2022</v>
      </c>
      <c r="BL2" s="205"/>
      <c r="BM2" s="205"/>
      <c r="BN2" s="205"/>
      <c r="BO2" s="205"/>
      <c r="BP2" s="205"/>
      <c r="BQ2" s="205"/>
      <c r="BR2" s="206"/>
      <c r="BS2" s="204">
        <v>2023</v>
      </c>
      <c r="BT2" s="205"/>
      <c r="BU2" s="205"/>
      <c r="BV2" s="205"/>
      <c r="BW2" s="205"/>
      <c r="BX2" s="205"/>
      <c r="BY2" s="205"/>
      <c r="BZ2" s="205"/>
      <c r="CA2" s="205"/>
      <c r="CB2" s="205"/>
      <c r="CC2" s="205"/>
      <c r="CD2" s="206"/>
      <c r="CE2" s="204">
        <v>2024</v>
      </c>
      <c r="CF2" s="206"/>
      <c r="CG2" s="86" t="s">
        <v>13</v>
      </c>
      <c r="CH2" s="86" t="s">
        <v>16</v>
      </c>
      <c r="CI2" s="204">
        <v>2022</v>
      </c>
      <c r="CJ2" s="205"/>
      <c r="CK2" s="205"/>
      <c r="CL2" s="205"/>
      <c r="CM2" s="205"/>
      <c r="CN2" s="205"/>
      <c r="CO2" s="205"/>
      <c r="CP2" s="206"/>
      <c r="CQ2" s="204">
        <v>2023</v>
      </c>
      <c r="CR2" s="205"/>
      <c r="CS2" s="205"/>
      <c r="CT2" s="205"/>
      <c r="CU2" s="205"/>
      <c r="CV2" s="205"/>
      <c r="CW2" s="205"/>
      <c r="CX2" s="205"/>
      <c r="CY2" s="205"/>
      <c r="CZ2" s="205"/>
      <c r="DA2" s="205"/>
      <c r="DB2" s="206"/>
      <c r="DC2" s="204">
        <v>2024</v>
      </c>
      <c r="DD2" s="206"/>
      <c r="DH2" s="204">
        <v>2022</v>
      </c>
      <c r="DI2" s="205"/>
      <c r="DJ2" s="205"/>
      <c r="DK2" s="205"/>
      <c r="DL2" s="205"/>
      <c r="DM2" s="205"/>
      <c r="DN2" s="205"/>
      <c r="DO2" s="206"/>
      <c r="DP2" s="204">
        <v>2023</v>
      </c>
      <c r="DQ2" s="205"/>
      <c r="DR2" s="205"/>
      <c r="DS2" s="205"/>
      <c r="DT2" s="205"/>
      <c r="DU2" s="205"/>
      <c r="DV2" s="205"/>
      <c r="DW2" s="205"/>
      <c r="DX2" s="205"/>
      <c r="DY2" s="205"/>
      <c r="DZ2" s="205"/>
      <c r="EA2" s="206"/>
      <c r="EB2" s="204">
        <v>2024</v>
      </c>
      <c r="EC2" s="206"/>
      <c r="ED2" s="204">
        <v>2022</v>
      </c>
      <c r="EE2" s="205"/>
      <c r="EF2" s="205"/>
      <c r="EG2" s="205"/>
      <c r="EH2" s="205"/>
      <c r="EI2" s="205"/>
      <c r="EJ2" s="205"/>
      <c r="EK2" s="206"/>
      <c r="EL2" s="204">
        <v>2023</v>
      </c>
      <c r="EM2" s="205"/>
      <c r="EN2" s="205"/>
      <c r="EO2" s="205"/>
      <c r="EP2" s="205"/>
      <c r="EQ2" s="205"/>
      <c r="ER2" s="205"/>
      <c r="ES2" s="205"/>
      <c r="ET2" s="205"/>
      <c r="EU2" s="205"/>
      <c r="EV2" s="205"/>
      <c r="EW2" s="206"/>
      <c r="EX2" s="204">
        <v>2024</v>
      </c>
      <c r="EY2" s="206"/>
      <c r="EZ2" s="181">
        <v>2022</v>
      </c>
      <c r="FA2" s="183"/>
      <c r="FB2" s="183"/>
      <c r="FC2" s="183"/>
      <c r="FD2" s="183"/>
      <c r="FE2" s="183"/>
      <c r="FF2" s="183"/>
      <c r="FG2" s="182"/>
      <c r="FH2" s="181">
        <v>2023</v>
      </c>
      <c r="FI2" s="183"/>
      <c r="FJ2" s="183"/>
      <c r="FK2" s="183"/>
      <c r="FL2" s="183"/>
      <c r="FM2" s="183"/>
      <c r="FN2" s="183"/>
      <c r="FO2" s="183"/>
      <c r="FP2" s="183"/>
      <c r="FQ2" s="183"/>
      <c r="FR2" s="183"/>
      <c r="FS2" s="182"/>
      <c r="FT2" s="181">
        <v>2024</v>
      </c>
      <c r="FU2" s="182"/>
    </row>
    <row r="3" spans="1:177" ht="13.15" customHeight="1">
      <c r="F3" s="25"/>
      <c r="H3" s="26">
        <v>1</v>
      </c>
      <c r="I3" s="26">
        <v>2</v>
      </c>
      <c r="J3" s="26">
        <v>3</v>
      </c>
      <c r="K3" s="26">
        <v>4</v>
      </c>
      <c r="L3" s="26">
        <v>5</v>
      </c>
      <c r="M3" s="87"/>
      <c r="N3" s="32" t="s">
        <v>17</v>
      </c>
      <c r="O3" s="30" t="s">
        <v>18</v>
      </c>
      <c r="P3" s="30">
        <v>5</v>
      </c>
      <c r="Q3" s="30">
        <v>6</v>
      </c>
      <c r="R3" s="30">
        <v>7</v>
      </c>
      <c r="S3" s="30">
        <v>8</v>
      </c>
      <c r="T3" s="30">
        <v>9</v>
      </c>
      <c r="U3" s="30">
        <v>10</v>
      </c>
      <c r="V3" s="30">
        <v>11</v>
      </c>
      <c r="W3" s="30">
        <v>12</v>
      </c>
      <c r="X3" s="30">
        <v>1</v>
      </c>
      <c r="Y3" s="30">
        <v>2</v>
      </c>
      <c r="Z3" s="30">
        <v>3</v>
      </c>
      <c r="AA3" s="30">
        <v>4</v>
      </c>
      <c r="AB3" s="30">
        <v>5</v>
      </c>
      <c r="AC3" s="30">
        <v>6</v>
      </c>
      <c r="AD3" s="30">
        <v>7</v>
      </c>
      <c r="AE3" s="30">
        <v>8</v>
      </c>
      <c r="AF3" s="30">
        <v>9</v>
      </c>
      <c r="AG3" s="30">
        <v>10</v>
      </c>
      <c r="AH3" s="30">
        <v>11</v>
      </c>
      <c r="AI3" s="30">
        <v>12</v>
      </c>
      <c r="AJ3" s="30">
        <v>1</v>
      </c>
      <c r="AK3" s="30">
        <v>2</v>
      </c>
      <c r="AL3" s="159">
        <v>5</v>
      </c>
      <c r="AM3" s="159">
        <v>6</v>
      </c>
      <c r="AN3" s="159">
        <v>7</v>
      </c>
      <c r="AO3" s="159">
        <v>8</v>
      </c>
      <c r="AP3" s="159">
        <v>9</v>
      </c>
      <c r="AQ3" s="159">
        <v>10</v>
      </c>
      <c r="AR3" s="159">
        <v>11</v>
      </c>
      <c r="AS3" s="159">
        <v>12</v>
      </c>
      <c r="AT3" s="159">
        <v>1</v>
      </c>
      <c r="AU3" s="159">
        <v>2</v>
      </c>
      <c r="AV3" s="159">
        <v>3</v>
      </c>
      <c r="AW3" s="159">
        <v>4</v>
      </c>
      <c r="AX3" s="159">
        <v>5</v>
      </c>
      <c r="AY3" s="159">
        <v>6</v>
      </c>
      <c r="AZ3" s="159">
        <v>7</v>
      </c>
      <c r="BA3" s="159">
        <v>8</v>
      </c>
      <c r="BB3" s="159">
        <v>9</v>
      </c>
      <c r="BC3" s="159">
        <v>10</v>
      </c>
      <c r="BD3" s="159">
        <v>11</v>
      </c>
      <c r="BE3" s="159">
        <v>12</v>
      </c>
      <c r="BF3" s="159">
        <v>1</v>
      </c>
      <c r="BG3" s="159">
        <v>2</v>
      </c>
      <c r="BH3" s="88" t="s">
        <v>19</v>
      </c>
      <c r="BI3" s="88" t="s">
        <v>20</v>
      </c>
      <c r="BJ3" s="88" t="s">
        <v>21</v>
      </c>
      <c r="BK3" s="37">
        <f t="shared" ref="BK3:CF3" si="0">P3</f>
        <v>5</v>
      </c>
      <c r="BL3" s="37">
        <f t="shared" si="0"/>
        <v>6</v>
      </c>
      <c r="BM3" s="37">
        <f t="shared" si="0"/>
        <v>7</v>
      </c>
      <c r="BN3" s="37">
        <f t="shared" si="0"/>
        <v>8</v>
      </c>
      <c r="BO3" s="37">
        <f t="shared" si="0"/>
        <v>9</v>
      </c>
      <c r="BP3" s="37">
        <f t="shared" si="0"/>
        <v>10</v>
      </c>
      <c r="BQ3" s="37">
        <f t="shared" si="0"/>
        <v>11</v>
      </c>
      <c r="BR3" s="37">
        <f t="shared" si="0"/>
        <v>12</v>
      </c>
      <c r="BS3" s="37">
        <f t="shared" si="0"/>
        <v>1</v>
      </c>
      <c r="BT3" s="37">
        <f t="shared" si="0"/>
        <v>2</v>
      </c>
      <c r="BU3" s="37">
        <f t="shared" si="0"/>
        <v>3</v>
      </c>
      <c r="BV3" s="37">
        <f t="shared" si="0"/>
        <v>4</v>
      </c>
      <c r="BW3" s="37">
        <f t="shared" si="0"/>
        <v>5</v>
      </c>
      <c r="BX3" s="37">
        <f t="shared" si="0"/>
        <v>6</v>
      </c>
      <c r="BY3" s="37">
        <f t="shared" si="0"/>
        <v>7</v>
      </c>
      <c r="BZ3" s="37">
        <f t="shared" si="0"/>
        <v>8</v>
      </c>
      <c r="CA3" s="37">
        <f t="shared" si="0"/>
        <v>9</v>
      </c>
      <c r="CB3" s="37">
        <f t="shared" si="0"/>
        <v>10</v>
      </c>
      <c r="CC3" s="37">
        <f t="shared" si="0"/>
        <v>11</v>
      </c>
      <c r="CD3" s="37">
        <f t="shared" si="0"/>
        <v>12</v>
      </c>
      <c r="CE3" s="37">
        <f t="shared" si="0"/>
        <v>1</v>
      </c>
      <c r="CF3" s="37">
        <f t="shared" si="0"/>
        <v>2</v>
      </c>
      <c r="CG3" s="89"/>
      <c r="CH3" s="89"/>
      <c r="CI3" s="37">
        <v>5</v>
      </c>
      <c r="CJ3" s="37">
        <v>6</v>
      </c>
      <c r="CK3" s="37">
        <v>7</v>
      </c>
      <c r="CL3" s="37">
        <v>8</v>
      </c>
      <c r="CM3" s="37">
        <v>9</v>
      </c>
      <c r="CN3" s="37">
        <v>10</v>
      </c>
      <c r="CO3" s="37">
        <v>11</v>
      </c>
      <c r="CP3" s="37">
        <v>12</v>
      </c>
      <c r="CQ3" s="37">
        <v>1</v>
      </c>
      <c r="CR3" s="37">
        <v>2</v>
      </c>
      <c r="CS3" s="37">
        <v>3</v>
      </c>
      <c r="CT3" s="37">
        <v>4</v>
      </c>
      <c r="CU3" s="37">
        <v>5</v>
      </c>
      <c r="CV3" s="37">
        <v>6</v>
      </c>
      <c r="CW3" s="37">
        <v>7</v>
      </c>
      <c r="CX3" s="37">
        <v>8</v>
      </c>
      <c r="CY3" s="37">
        <v>9</v>
      </c>
      <c r="CZ3" s="37">
        <v>10</v>
      </c>
      <c r="DA3" s="37">
        <v>11</v>
      </c>
      <c r="DB3" s="37">
        <v>12</v>
      </c>
      <c r="DC3" s="37">
        <v>1</v>
      </c>
      <c r="DD3" s="37">
        <v>2</v>
      </c>
      <c r="DE3" s="37" t="s">
        <v>19</v>
      </c>
      <c r="DF3" s="37" t="s">
        <v>20</v>
      </c>
      <c r="DG3" s="37" t="s">
        <v>21</v>
      </c>
      <c r="DH3" s="37">
        <v>5</v>
      </c>
      <c r="DI3" s="37">
        <v>6</v>
      </c>
      <c r="DJ3" s="37">
        <v>7</v>
      </c>
      <c r="DK3" s="37">
        <v>8</v>
      </c>
      <c r="DL3" s="37">
        <v>9</v>
      </c>
      <c r="DM3" s="37">
        <v>10</v>
      </c>
      <c r="DN3" s="37">
        <v>11</v>
      </c>
      <c r="DO3" s="37">
        <v>12</v>
      </c>
      <c r="DP3" s="37">
        <v>1</v>
      </c>
      <c r="DQ3" s="37">
        <v>2</v>
      </c>
      <c r="DR3" s="37">
        <v>3</v>
      </c>
      <c r="DS3" s="37">
        <v>4</v>
      </c>
      <c r="DT3" s="37">
        <v>5</v>
      </c>
      <c r="DU3" s="37">
        <v>6</v>
      </c>
      <c r="DV3" s="37">
        <v>7</v>
      </c>
      <c r="DW3" s="37">
        <v>8</v>
      </c>
      <c r="DX3" s="37">
        <v>9</v>
      </c>
      <c r="DY3" s="37">
        <v>10</v>
      </c>
      <c r="DZ3" s="37">
        <v>11</v>
      </c>
      <c r="EA3" s="37">
        <v>12</v>
      </c>
      <c r="EB3" s="37">
        <v>1</v>
      </c>
      <c r="EC3" s="37">
        <v>2</v>
      </c>
      <c r="ED3" s="37">
        <v>5</v>
      </c>
      <c r="EE3" s="37">
        <v>6</v>
      </c>
      <c r="EF3" s="37">
        <v>7</v>
      </c>
      <c r="EG3" s="37">
        <v>8</v>
      </c>
      <c r="EH3" s="37">
        <v>9</v>
      </c>
      <c r="EI3" s="37">
        <v>10</v>
      </c>
      <c r="EJ3" s="37">
        <v>11</v>
      </c>
      <c r="EK3" s="37">
        <v>12</v>
      </c>
      <c r="EL3" s="37">
        <v>1</v>
      </c>
      <c r="EM3" s="37">
        <v>2</v>
      </c>
      <c r="EN3" s="37">
        <v>3</v>
      </c>
      <c r="EO3" s="37">
        <v>4</v>
      </c>
      <c r="EP3" s="37">
        <v>5</v>
      </c>
      <c r="EQ3" s="37">
        <v>6</v>
      </c>
      <c r="ER3" s="37">
        <v>7</v>
      </c>
      <c r="ES3" s="37">
        <v>8</v>
      </c>
      <c r="ET3" s="37">
        <v>9</v>
      </c>
      <c r="EU3" s="37">
        <v>10</v>
      </c>
      <c r="EV3" s="37">
        <v>11</v>
      </c>
      <c r="EW3" s="37">
        <v>12</v>
      </c>
      <c r="EX3" s="37">
        <v>1</v>
      </c>
      <c r="EY3" s="37">
        <v>2</v>
      </c>
      <c r="EZ3" s="37">
        <v>5</v>
      </c>
      <c r="FA3" s="37">
        <v>6</v>
      </c>
      <c r="FB3" s="37">
        <v>7</v>
      </c>
      <c r="FC3" s="37">
        <v>8</v>
      </c>
      <c r="FD3" s="37">
        <v>9</v>
      </c>
      <c r="FE3" s="37">
        <v>10</v>
      </c>
      <c r="FF3" s="37">
        <v>11</v>
      </c>
      <c r="FG3" s="37">
        <v>12</v>
      </c>
      <c r="FH3" s="37">
        <v>1</v>
      </c>
      <c r="FI3" s="37">
        <v>2</v>
      </c>
      <c r="FJ3" s="37">
        <v>3</v>
      </c>
      <c r="FK3" s="37">
        <v>4</v>
      </c>
      <c r="FL3" s="37">
        <v>5</v>
      </c>
      <c r="FM3" s="37">
        <v>6</v>
      </c>
      <c r="FN3" s="37">
        <v>7</v>
      </c>
      <c r="FO3" s="37">
        <v>8</v>
      </c>
      <c r="FP3" s="37">
        <v>9</v>
      </c>
      <c r="FQ3" s="37">
        <v>10</v>
      </c>
      <c r="FR3" s="37">
        <v>11</v>
      </c>
      <c r="FS3" s="37">
        <v>12</v>
      </c>
      <c r="FT3" s="37">
        <v>1</v>
      </c>
      <c r="FU3" s="37">
        <v>2</v>
      </c>
    </row>
    <row r="4" spans="1:177">
      <c r="A4" s="90"/>
      <c r="B4" s="90"/>
      <c r="C4" s="90"/>
      <c r="D4" s="90"/>
      <c r="E4" s="90"/>
      <c r="F4" s="91"/>
      <c r="G4" s="42" t="s">
        <v>40</v>
      </c>
      <c r="H4" s="40">
        <v>1</v>
      </c>
      <c r="I4" s="41">
        <v>32802.146000000001</v>
      </c>
      <c r="J4" s="41">
        <v>33904.127</v>
      </c>
      <c r="K4" s="41">
        <v>32833.296999999999</v>
      </c>
      <c r="L4" s="41">
        <v>29818.438999999988</v>
      </c>
      <c r="M4" s="41">
        <v>33431.994999999974</v>
      </c>
      <c r="N4" s="41">
        <v>28803.478000000006</v>
      </c>
      <c r="O4" s="41">
        <v>40291.759000000013</v>
      </c>
      <c r="P4" s="41">
        <v>26278.331999999999</v>
      </c>
      <c r="Q4" s="41">
        <v>42540.371000000014</v>
      </c>
      <c r="R4" s="41">
        <v>37172.433999999972</v>
      </c>
      <c r="S4" s="41">
        <v>41637.430999999997</v>
      </c>
      <c r="T4" s="41">
        <v>31219.431999999964</v>
      </c>
      <c r="U4" s="41">
        <v>28675.796000000013</v>
      </c>
      <c r="V4" s="41">
        <v>49731.127000000008</v>
      </c>
      <c r="W4" s="41">
        <v>41223.800000000025</v>
      </c>
      <c r="X4" s="41">
        <v>32654.809000000019</v>
      </c>
      <c r="Y4" s="41">
        <v>28539.58400000001</v>
      </c>
      <c r="Z4" s="41">
        <v>21790.126999999993</v>
      </c>
      <c r="AA4" s="41">
        <v>37336.114000000016</v>
      </c>
      <c r="AB4" s="41">
        <v>42632.649000000019</v>
      </c>
      <c r="AC4" s="41">
        <v>31690.889000000021</v>
      </c>
      <c r="AD4" s="41">
        <v>43097.821000000011</v>
      </c>
      <c r="AE4" s="150"/>
      <c r="AF4" s="150">
        <f>IFERROR(AVERAGE($I4:I4),"")</f>
        <v>32802.146000000001</v>
      </c>
      <c r="AG4" s="150">
        <f>IFERROR(AVERAGE($I4:J4),"")</f>
        <v>33353.136500000001</v>
      </c>
      <c r="AH4" s="150">
        <f>IFERROR(AVERAGE($I4:K4),"")</f>
        <v>33179.856666666667</v>
      </c>
      <c r="AI4" s="150">
        <f>IFERROR(AVERAGE($I4:L4),"")</f>
        <v>32339.502249999998</v>
      </c>
      <c r="AJ4" s="150">
        <f>IFERROR(AVERAGE($I4:M4),"")</f>
        <v>32558.000799999991</v>
      </c>
      <c r="AK4" s="150">
        <f>IFERROR(AVERAGE($I4:N4),"")</f>
        <v>31932.246999999992</v>
      </c>
      <c r="AL4" s="150">
        <f>IFERROR(AVERAGE($I4:O4),"")</f>
        <v>33126.462999999996</v>
      </c>
      <c r="AM4" s="150">
        <f>IFERROR(AVERAGE($I4:P4),"")</f>
        <v>32270.446624999997</v>
      </c>
      <c r="AN4" s="150">
        <f>IFERROR(AVERAGE($I4:Q4),"")</f>
        <v>33411.549333333336</v>
      </c>
      <c r="AO4" s="150">
        <f>IFERROR(AVERAGE($I4:R4),"")</f>
        <v>33787.637799999997</v>
      </c>
      <c r="AP4" s="150">
        <f>IFERROR(AVERAGE($I4:S4),"")</f>
        <v>34501.255363636359</v>
      </c>
      <c r="AQ4" s="150">
        <f>IFERROR(AVERAGE($I4:T4),"")</f>
        <v>34227.770083333329</v>
      </c>
      <c r="AR4" s="150">
        <f>IFERROR(AVERAGE($I4:U4),"")</f>
        <v>33800.695153846151</v>
      </c>
      <c r="AS4" s="150">
        <f>IFERROR(AVERAGE($I4:V4),"")</f>
        <v>34938.58314285714</v>
      </c>
      <c r="AT4" s="150">
        <f>IFERROR(AVERAGE($I4:W4),"")</f>
        <v>35357.597600000001</v>
      </c>
      <c r="AU4" s="150">
        <f>IFERROR(AVERAGE($I4:X4),"")</f>
        <v>35188.673312500003</v>
      </c>
      <c r="AV4" s="150">
        <f>IFERROR(AVERAGE($I4:Y4),"")</f>
        <v>34797.550411764707</v>
      </c>
      <c r="AW4" s="150">
        <f>IFERROR(AVERAGE($I4:Z4),"")</f>
        <v>34074.91577777778</v>
      </c>
      <c r="AX4" s="150">
        <f>IFERROR(AVERAGE($I4:AA4),"")</f>
        <v>34246.557789473693</v>
      </c>
      <c r="AY4" s="150">
        <f>IFERROR(AVERAGE($I4:AB4),"")</f>
        <v>34665.862350000003</v>
      </c>
      <c r="AZ4" s="150">
        <f>IFERROR(AVERAGE($I4:AC4),"")</f>
        <v>34524.196952380953</v>
      </c>
      <c r="BA4" s="148">
        <f>IFERROR(AVERAGE($I4:AD4),"")</f>
        <v>34913.907136363639</v>
      </c>
      <c r="BB4" s="149">
        <f t="shared" ref="BB4:BC30" si="1">BA4</f>
        <v>34913.907136363639</v>
      </c>
      <c r="BC4" s="148">
        <f t="shared" si="1"/>
        <v>34913.907136363639</v>
      </c>
      <c r="BD4" s="45" t="str">
        <f t="shared" ref="BD4:BS19" si="2">IF(AE4="","",(AE4-I4)^2)</f>
        <v/>
      </c>
      <c r="BE4" s="45">
        <f t="shared" si="2"/>
        <v>1214362.1243609996</v>
      </c>
      <c r="BF4" s="45">
        <f t="shared" si="2"/>
        <v>270233.10576025193</v>
      </c>
      <c r="BG4" s="45">
        <f t="shared" si="2"/>
        <v>11299128.72977886</v>
      </c>
      <c r="BH4" s="45">
        <f t="shared" si="2"/>
        <v>1193540.4088025095</v>
      </c>
      <c r="BI4" s="45">
        <f t="shared" si="2"/>
        <v>14096441.455719722</v>
      </c>
      <c r="BJ4" s="45">
        <f t="shared" si="2"/>
        <v>69881440.878144339</v>
      </c>
      <c r="BK4" s="45">
        <f t="shared" si="2"/>
        <v>46896898.193160966</v>
      </c>
      <c r="BL4" s="45">
        <f t="shared" si="2"/>
        <v>105471346.66821949</v>
      </c>
      <c r="BM4" s="45">
        <f t="shared" si="2"/>
        <v>14144253.475968214</v>
      </c>
      <c r="BN4" s="45">
        <f t="shared" si="2"/>
        <v>61619253.282766238</v>
      </c>
      <c r="BO4" s="45">
        <f t="shared" si="2"/>
        <v>10770364.5901097</v>
      </c>
      <c r="BP4" s="45">
        <f t="shared" si="2"/>
        <v>30824416.222004816</v>
      </c>
      <c r="BQ4" s="45">
        <f t="shared" si="2"/>
        <v>253778658.80495298</v>
      </c>
      <c r="BR4" s="45">
        <f t="shared" si="2"/>
        <v>39503950.94131308</v>
      </c>
      <c r="BS4" s="45">
        <f t="shared" si="2"/>
        <v>7305066.2162898611</v>
      </c>
      <c r="BT4" s="45">
        <f t="shared" ref="BT4:BY35" si="3">IF(AU4="","",(AU4-Y4)^2)</f>
        <v>44210388.685601629</v>
      </c>
      <c r="BU4" s="45">
        <f t="shared" si="3"/>
        <v>169193063.8129248</v>
      </c>
      <c r="BV4" s="45">
        <f t="shared" si="3"/>
        <v>10635413.844625473</v>
      </c>
      <c r="BW4" s="45">
        <f t="shared" si="3"/>
        <v>70326525.791266918</v>
      </c>
      <c r="BX4" s="45">
        <f t="shared" si="3"/>
        <v>8850466.4332101159</v>
      </c>
      <c r="BY4" s="45">
        <f t="shared" si="3"/>
        <v>73507029.309911802</v>
      </c>
      <c r="BZ4" s="92">
        <f t="shared" ref="BZ4:BZ67" si="4">SQRT(AVERAGE(BD4:BY4))</f>
        <v>7054.1856638280224</v>
      </c>
      <c r="CA4" s="47">
        <f t="shared" ref="CA4:CA67" si="5">BZ4/AD4</f>
        <v>0.16367847608416261</v>
      </c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93"/>
      <c r="CY4" s="93"/>
      <c r="CZ4" s="93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  <c r="FG4" s="48"/>
      <c r="FH4" s="48"/>
      <c r="FI4" s="48"/>
      <c r="FJ4" s="48"/>
      <c r="FK4" s="48"/>
      <c r="FL4" s="48"/>
      <c r="FM4" s="48"/>
      <c r="FN4" s="48"/>
      <c r="FO4" s="25" t="str">
        <f t="shared" ref="FO4:FO67" si="6">G4&amp;H4</f>
        <v>arithmetic average1</v>
      </c>
    </row>
    <row r="5" spans="1:177">
      <c r="A5" s="42"/>
      <c r="B5" s="42"/>
      <c r="C5" s="42"/>
      <c r="D5" s="42"/>
      <c r="E5" s="42"/>
      <c r="F5" s="41"/>
      <c r="G5" s="42" t="s">
        <v>40</v>
      </c>
      <c r="H5" s="40">
        <v>2</v>
      </c>
      <c r="I5" s="41">
        <v>2034.829</v>
      </c>
      <c r="J5" s="41">
        <v>3926.1889999999994</v>
      </c>
      <c r="K5" s="41">
        <v>3165.9719999999993</v>
      </c>
      <c r="L5" s="41">
        <v>2405.7349999999997</v>
      </c>
      <c r="M5" s="41">
        <v>4985.2890000000025</v>
      </c>
      <c r="N5" s="41">
        <v>3527.0360000000028</v>
      </c>
      <c r="O5" s="41">
        <v>5465.6859999999933</v>
      </c>
      <c r="P5" s="41">
        <v>3315.097000000002</v>
      </c>
      <c r="Q5" s="41">
        <v>5477.0960000000023</v>
      </c>
      <c r="R5" s="41">
        <v>4799.9790000000003</v>
      </c>
      <c r="S5" s="41">
        <v>6470.7690000000048</v>
      </c>
      <c r="T5" s="41">
        <v>5351.2719999999999</v>
      </c>
      <c r="U5" s="41">
        <v>5938.1189999999997</v>
      </c>
      <c r="V5" s="41">
        <v>4660.0050000000001</v>
      </c>
      <c r="W5" s="41">
        <v>5788.3040000000074</v>
      </c>
      <c r="X5" s="41">
        <v>5788.3040000000074</v>
      </c>
      <c r="Y5" s="41">
        <v>5652.8189999999959</v>
      </c>
      <c r="Z5" s="41">
        <v>4704.0000000000045</v>
      </c>
      <c r="AA5" s="41">
        <v>4291.5800000000008</v>
      </c>
      <c r="AB5" s="41">
        <v>5788.3040000000074</v>
      </c>
      <c r="AC5" s="41">
        <v>5711.5479999999989</v>
      </c>
      <c r="AD5" s="41">
        <v>6232.6779999999999</v>
      </c>
      <c r="AE5" s="150"/>
      <c r="AF5" s="150">
        <f>IFERROR(AVERAGE($I5:I5),"")</f>
        <v>2034.829</v>
      </c>
      <c r="AG5" s="150">
        <f>IFERROR(AVERAGE($I5:J5),"")</f>
        <v>2980.5089999999996</v>
      </c>
      <c r="AH5" s="150">
        <f>IFERROR(AVERAGE($I5:K5),"")</f>
        <v>3042.3299999999995</v>
      </c>
      <c r="AI5" s="150">
        <f>IFERROR(AVERAGE($I5:L5),"")</f>
        <v>2883.1812499999996</v>
      </c>
      <c r="AJ5" s="150">
        <f>IFERROR(AVERAGE($I5:M5),"")</f>
        <v>3303.6028000000006</v>
      </c>
      <c r="AK5" s="150">
        <f>IFERROR(AVERAGE($I5:N5),"")</f>
        <v>3340.8416666666676</v>
      </c>
      <c r="AL5" s="150">
        <f>IFERROR(AVERAGE($I5:O5),"")</f>
        <v>3644.3908571428574</v>
      </c>
      <c r="AM5" s="150">
        <f>IFERROR(AVERAGE($I5:P5),"")</f>
        <v>3603.2291250000003</v>
      </c>
      <c r="AN5" s="150">
        <f>IFERROR(AVERAGE($I5:Q5),"")</f>
        <v>3811.436555555556</v>
      </c>
      <c r="AO5" s="150">
        <f>IFERROR(AVERAGE($I5:R5),"")</f>
        <v>3910.2908000000002</v>
      </c>
      <c r="AP5" s="150">
        <f>IFERROR(AVERAGE($I5:S5),"")</f>
        <v>4143.0615454545468</v>
      </c>
      <c r="AQ5" s="150">
        <f>IFERROR(AVERAGE($I5:T5),"")</f>
        <v>4243.745750000001</v>
      </c>
      <c r="AR5" s="150">
        <f>IFERROR(AVERAGE($I5:U5),"")</f>
        <v>4374.0821538461541</v>
      </c>
      <c r="AS5" s="150">
        <f>IFERROR(AVERAGE($I5:V5),"")</f>
        <v>4394.5052142857148</v>
      </c>
      <c r="AT5" s="150">
        <f>IFERROR(AVERAGE($I5:W5),"")</f>
        <v>4487.4251333333341</v>
      </c>
      <c r="AU5" s="150">
        <f>IFERROR(AVERAGE($I5:X5),"")</f>
        <v>4568.7300625000007</v>
      </c>
      <c r="AV5" s="150">
        <f>IFERROR(AVERAGE($I5:Y5),"")</f>
        <v>4632.5</v>
      </c>
      <c r="AW5" s="150">
        <f>IFERROR(AVERAGE($I5:Z5),"")</f>
        <v>4636.4722222222226</v>
      </c>
      <c r="AX5" s="150">
        <f>IFERROR(AVERAGE($I5:AA5),"")</f>
        <v>4618.32</v>
      </c>
      <c r="AY5" s="150">
        <f>IFERROR(AVERAGE($I5:AB5),"")</f>
        <v>4676.8191999999999</v>
      </c>
      <c r="AZ5" s="150">
        <f>IFERROR(AVERAGE($I5:AC5),"")</f>
        <v>4726.0919999999996</v>
      </c>
      <c r="BA5" s="148">
        <f>IFERROR(AVERAGE($I5:AD5),"")</f>
        <v>4794.5731818181821</v>
      </c>
      <c r="BB5" s="149">
        <f t="shared" si="1"/>
        <v>4794.5731818181821</v>
      </c>
      <c r="BC5" s="148">
        <f t="shared" si="1"/>
        <v>4794.5731818181821</v>
      </c>
      <c r="BD5" s="45" t="str">
        <f t="shared" si="2"/>
        <v/>
      </c>
      <c r="BE5" s="45">
        <f t="shared" si="2"/>
        <v>3577242.6495999978</v>
      </c>
      <c r="BF5" s="45">
        <f t="shared" si="2"/>
        <v>34396.524368999904</v>
      </c>
      <c r="BG5" s="45">
        <f t="shared" si="2"/>
        <v>405253.19402499974</v>
      </c>
      <c r="BH5" s="45">
        <f t="shared" si="2"/>
        <v>4418856.9926100746</v>
      </c>
      <c r="BI5" s="45">
        <f t="shared" si="2"/>
        <v>49922.394862240988</v>
      </c>
      <c r="BJ5" s="45">
        <f t="shared" si="2"/>
        <v>4514963.4408987453</v>
      </c>
      <c r="BK5" s="45">
        <f t="shared" si="2"/>
        <v>108434.44435201923</v>
      </c>
      <c r="BL5" s="45">
        <f t="shared" si="2"/>
        <v>3511377.0652222731</v>
      </c>
      <c r="BM5" s="45">
        <f t="shared" si="2"/>
        <v>977216.16446819727</v>
      </c>
      <c r="BN5" s="45">
        <f t="shared" si="2"/>
        <v>6556048.6126752635</v>
      </c>
      <c r="BO5" s="45">
        <f t="shared" si="2"/>
        <v>1459772.5024729304</v>
      </c>
      <c r="BP5" s="45">
        <f t="shared" si="2"/>
        <v>2870900.7103155581</v>
      </c>
      <c r="BQ5" s="45">
        <f t="shared" si="2"/>
        <v>81751.873952715876</v>
      </c>
      <c r="BR5" s="45">
        <f t="shared" si="2"/>
        <v>1942675.0550586365</v>
      </c>
      <c r="BS5" s="45">
        <f t="shared" si="2"/>
        <v>1692285.8257399683</v>
      </c>
      <c r="BT5" s="45">
        <f t="shared" si="3"/>
        <v>1175248.8244098683</v>
      </c>
      <c r="BU5" s="45">
        <f t="shared" si="3"/>
        <v>5112.2500000006503</v>
      </c>
      <c r="BV5" s="45">
        <f t="shared" si="3"/>
        <v>118950.64494938242</v>
      </c>
      <c r="BW5" s="45">
        <f t="shared" si="3"/>
        <v>1368862.5602560178</v>
      </c>
      <c r="BX5" s="45">
        <f t="shared" si="3"/>
        <v>1070663.6895494377</v>
      </c>
      <c r="BY5" s="45">
        <f t="shared" si="3"/>
        <v>2269801.3753960007</v>
      </c>
      <c r="BZ5" s="92">
        <f t="shared" si="4"/>
        <v>1348.8926109817307</v>
      </c>
      <c r="CA5" s="47">
        <f t="shared" si="5"/>
        <v>0.2164226374251535</v>
      </c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93"/>
      <c r="CY5" s="93"/>
      <c r="CZ5" s="93"/>
      <c r="DA5" s="60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60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  <c r="FG5" s="48"/>
      <c r="FH5" s="48"/>
      <c r="FI5" s="48"/>
      <c r="FJ5" s="48"/>
      <c r="FK5" s="48"/>
      <c r="FL5" s="48"/>
      <c r="FM5" s="48"/>
      <c r="FN5" s="48"/>
      <c r="FO5" s="25" t="str">
        <f t="shared" si="6"/>
        <v>arithmetic average2</v>
      </c>
    </row>
    <row r="6" spans="1:177">
      <c r="A6" s="90"/>
      <c r="B6" s="90"/>
      <c r="C6" s="90"/>
      <c r="D6" s="90"/>
      <c r="E6" s="90"/>
      <c r="F6" s="91"/>
      <c r="G6" s="42" t="s">
        <v>40</v>
      </c>
      <c r="H6" s="40">
        <v>3</v>
      </c>
      <c r="I6" s="41">
        <v>13358.629000000003</v>
      </c>
      <c r="J6" s="41">
        <v>20803.865999999976</v>
      </c>
      <c r="K6" s="41">
        <v>20017.845000000023</v>
      </c>
      <c r="L6" s="41">
        <v>15104.177</v>
      </c>
      <c r="M6" s="41">
        <v>26176.769000000015</v>
      </c>
      <c r="N6" s="41">
        <v>16747.22099999998</v>
      </c>
      <c r="O6" s="41">
        <v>26239.445000000032</v>
      </c>
      <c r="P6" s="41">
        <v>19977.948</v>
      </c>
      <c r="Q6" s="41">
        <v>24363.912000000008</v>
      </c>
      <c r="R6" s="41">
        <v>27562.603000000043</v>
      </c>
      <c r="S6" s="41">
        <v>19304.851999999999</v>
      </c>
      <c r="T6" s="41">
        <v>18896.307999999983</v>
      </c>
      <c r="U6" s="41">
        <v>18222.650000000001</v>
      </c>
      <c r="V6" s="41">
        <v>22709.071000000025</v>
      </c>
      <c r="W6" s="41">
        <v>16042.15199999998</v>
      </c>
      <c r="X6" s="41">
        <v>16228.581999999999</v>
      </c>
      <c r="Y6" s="41">
        <v>16931.791000000016</v>
      </c>
      <c r="Z6" s="41">
        <v>19747.198</v>
      </c>
      <c r="AA6" s="41">
        <v>19613.917000000005</v>
      </c>
      <c r="AB6" s="41">
        <v>23936.453999999991</v>
      </c>
      <c r="AC6" s="41">
        <v>26626.845000000001</v>
      </c>
      <c r="AD6" s="41">
        <v>29996.83699999996</v>
      </c>
      <c r="AE6" s="150"/>
      <c r="AF6" s="150">
        <f>IFERROR(AVERAGE($I6:I6),"")</f>
        <v>13358.629000000003</v>
      </c>
      <c r="AG6" s="150">
        <f>IFERROR(AVERAGE($I6:J6),"")</f>
        <v>17081.24749999999</v>
      </c>
      <c r="AH6" s="150">
        <f>IFERROR(AVERAGE($I6:K6),"")</f>
        <v>18060.113333333335</v>
      </c>
      <c r="AI6" s="150">
        <f>IFERROR(AVERAGE($I6:L6),"")</f>
        <v>17321.129250000002</v>
      </c>
      <c r="AJ6" s="150">
        <f>IFERROR(AVERAGE($I6:M6),"")</f>
        <v>19092.257200000004</v>
      </c>
      <c r="AK6" s="150">
        <f>IFERROR(AVERAGE($I6:N6),"")</f>
        <v>18701.417833333333</v>
      </c>
      <c r="AL6" s="150">
        <f>IFERROR(AVERAGE($I6:O6),"")</f>
        <v>19778.278857142861</v>
      </c>
      <c r="AM6" s="150">
        <f>IFERROR(AVERAGE($I6:P6),"")</f>
        <v>19803.237500000003</v>
      </c>
      <c r="AN6" s="150">
        <f>IFERROR(AVERAGE($I6:Q6),"")</f>
        <v>20309.979111111115</v>
      </c>
      <c r="AO6" s="150">
        <f>IFERROR(AVERAGE($I6:R6),"")</f>
        <v>21035.241500000007</v>
      </c>
      <c r="AP6" s="150">
        <f>IFERROR(AVERAGE($I6:S6),"")</f>
        <v>20877.93336363637</v>
      </c>
      <c r="AQ6" s="150">
        <f>IFERROR(AVERAGE($I6:T6),"")</f>
        <v>20712.79791666667</v>
      </c>
      <c r="AR6" s="150">
        <f>IFERROR(AVERAGE($I6:U6),"")</f>
        <v>20521.248076923079</v>
      </c>
      <c r="AS6" s="150">
        <f>IFERROR(AVERAGE($I6:V6),"")</f>
        <v>20677.521142857149</v>
      </c>
      <c r="AT6" s="150">
        <f>IFERROR(AVERAGE($I6:W6),"")</f>
        <v>20368.496533333338</v>
      </c>
      <c r="AU6" s="150">
        <f>IFERROR(AVERAGE($I6:X6),"")</f>
        <v>20109.751875000005</v>
      </c>
      <c r="AV6" s="150">
        <f>IFERROR(AVERAGE($I6:Y6),"")</f>
        <v>19922.813000000006</v>
      </c>
      <c r="AW6" s="150">
        <f>IFERROR(AVERAGE($I6:Z6),"")</f>
        <v>19913.056611111115</v>
      </c>
      <c r="AX6" s="150">
        <f>IFERROR(AVERAGE($I6:AA6),"")</f>
        <v>19897.312421052637</v>
      </c>
      <c r="AY6" s="150">
        <f>IFERROR(AVERAGE($I6:AB6),"")</f>
        <v>20099.269500000002</v>
      </c>
      <c r="AZ6" s="150">
        <f>IFERROR(AVERAGE($I6:AC6),"")</f>
        <v>20410.106428571435</v>
      </c>
      <c r="BA6" s="148">
        <f>IFERROR(AVERAGE($I6:AD6),"")</f>
        <v>20845.86690909091</v>
      </c>
      <c r="BB6" s="149">
        <f t="shared" si="1"/>
        <v>20845.86690909091</v>
      </c>
      <c r="BC6" s="148">
        <f t="shared" si="1"/>
        <v>20845.86690909091</v>
      </c>
      <c r="BD6" s="45" t="str">
        <f t="shared" si="2"/>
        <v/>
      </c>
      <c r="BE6" s="45">
        <f t="shared" si="2"/>
        <v>55431553.986168608</v>
      </c>
      <c r="BF6" s="45">
        <f t="shared" si="2"/>
        <v>8623604.8770064414</v>
      </c>
      <c r="BG6" s="45">
        <f t="shared" si="2"/>
        <v>8737559.6067201197</v>
      </c>
      <c r="BH6" s="45">
        <f t="shared" si="2"/>
        <v>78422355.381780297</v>
      </c>
      <c r="BI6" s="45">
        <f t="shared" si="2"/>
        <v>5499194.7793105533</v>
      </c>
      <c r="BJ6" s="45">
        <f t="shared" si="2"/>
        <v>56821853.56540519</v>
      </c>
      <c r="BK6" s="45">
        <f t="shared" si="2"/>
        <v>39867.76660930473</v>
      </c>
      <c r="BL6" s="45">
        <f t="shared" si="2"/>
        <v>20799751.894950293</v>
      </c>
      <c r="BM6" s="45">
        <f t="shared" si="2"/>
        <v>52600553.273682348</v>
      </c>
      <c r="BN6" s="45">
        <f t="shared" si="2"/>
        <v>2994247.8217102792</v>
      </c>
      <c r="BO6" s="45">
        <f t="shared" si="2"/>
        <v>3926839.0818070439</v>
      </c>
      <c r="BP6" s="45">
        <f t="shared" si="2"/>
        <v>6200836.6468793498</v>
      </c>
      <c r="BQ6" s="45">
        <f t="shared" si="2"/>
        <v>4786569.1427409546</v>
      </c>
      <c r="BR6" s="45">
        <f t="shared" si="2"/>
        <v>21486647.090552408</v>
      </c>
      <c r="BS6" s="45">
        <f t="shared" si="2"/>
        <v>17138892.343304604</v>
      </c>
      <c r="BT6" s="45">
        <f t="shared" si="3"/>
        <v>10099435.323030701</v>
      </c>
      <c r="BU6" s="45">
        <f t="shared" si="3"/>
        <v>30840.628225001841</v>
      </c>
      <c r="BV6" s="45">
        <f t="shared" si="3"/>
        <v>89484.506935706027</v>
      </c>
      <c r="BW6" s="45">
        <f t="shared" si="3"/>
        <v>16314664.694781324</v>
      </c>
      <c r="BX6" s="45">
        <f t="shared" si="3"/>
        <v>42609241.908200234</v>
      </c>
      <c r="BY6" s="45">
        <f t="shared" si="3"/>
        <v>91905403.049162284</v>
      </c>
      <c r="BZ6" s="92">
        <f t="shared" si="4"/>
        <v>4901.6974580190708</v>
      </c>
      <c r="CA6" s="47">
        <f t="shared" si="5"/>
        <v>0.16340714382716676</v>
      </c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93"/>
      <c r="CY6" s="93"/>
      <c r="CZ6" s="93"/>
      <c r="DA6" s="60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60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25" t="str">
        <f t="shared" si="6"/>
        <v>arithmetic average3</v>
      </c>
    </row>
    <row r="7" spans="1:177">
      <c r="A7" s="42"/>
      <c r="B7" s="42"/>
      <c r="C7" s="42"/>
      <c r="D7" s="42"/>
      <c r="E7" s="42"/>
      <c r="F7" s="41"/>
      <c r="G7" s="42" t="s">
        <v>40</v>
      </c>
      <c r="H7" s="40">
        <v>4</v>
      </c>
      <c r="I7" s="41">
        <v>400.44400000000007</v>
      </c>
      <c r="J7" s="41">
        <v>2589.7540000000013</v>
      </c>
      <c r="K7" s="41">
        <v>1336.3789999999999</v>
      </c>
      <c r="L7" s="41">
        <v>1186.7760000000001</v>
      </c>
      <c r="M7" s="41">
        <v>839.32799999999986</v>
      </c>
      <c r="N7" s="41">
        <v>2024.5600000000004</v>
      </c>
      <c r="O7" s="41">
        <v>1502.1150000000002</v>
      </c>
      <c r="P7" s="41">
        <v>1294.5919999999994</v>
      </c>
      <c r="Q7" s="41">
        <v>1067.4629999999997</v>
      </c>
      <c r="R7" s="41">
        <v>2076.5049999999987</v>
      </c>
      <c r="S7" s="41">
        <v>2051.2060000000006</v>
      </c>
      <c r="T7" s="41">
        <v>1039.9769999999999</v>
      </c>
      <c r="U7" s="41">
        <v>922.57100000000003</v>
      </c>
      <c r="V7" s="41">
        <v>380.83800000000002</v>
      </c>
      <c r="W7" s="41">
        <v>2476.893</v>
      </c>
      <c r="X7" s="41">
        <v>453.2119999999997</v>
      </c>
      <c r="Y7" s="41">
        <v>2092.7499999999995</v>
      </c>
      <c r="Z7" s="41">
        <v>823.12700000000018</v>
      </c>
      <c r="AA7" s="41">
        <v>1106.48</v>
      </c>
      <c r="AB7" s="41">
        <v>864.59699999999987</v>
      </c>
      <c r="AC7" s="41">
        <v>1086.4360000000004</v>
      </c>
      <c r="AD7" s="41">
        <v>1891.8890000000001</v>
      </c>
      <c r="AE7" s="150"/>
      <c r="AF7" s="150">
        <f>IFERROR(AVERAGE($I7:I7),"")</f>
        <v>400.44400000000007</v>
      </c>
      <c r="AG7" s="150">
        <f>IFERROR(AVERAGE($I7:J7),"")</f>
        <v>1495.0990000000006</v>
      </c>
      <c r="AH7" s="150">
        <f>IFERROR(AVERAGE($I7:K7),"")</f>
        <v>1442.1923333333336</v>
      </c>
      <c r="AI7" s="150">
        <f>IFERROR(AVERAGE($I7:L7),"")</f>
        <v>1378.3382500000002</v>
      </c>
      <c r="AJ7" s="150">
        <f>IFERROR(AVERAGE($I7:M7),"")</f>
        <v>1270.5362</v>
      </c>
      <c r="AK7" s="150">
        <f>IFERROR(AVERAGE($I7:N7),"")</f>
        <v>1396.2068333333336</v>
      </c>
      <c r="AL7" s="150">
        <f>IFERROR(AVERAGE($I7:O7),"")</f>
        <v>1411.3365714285717</v>
      </c>
      <c r="AM7" s="150">
        <f>IFERROR(AVERAGE($I7:P7),"")</f>
        <v>1396.7435</v>
      </c>
      <c r="AN7" s="150">
        <f>IFERROR(AVERAGE($I7:Q7),"")</f>
        <v>1360.1567777777777</v>
      </c>
      <c r="AO7" s="150">
        <f>IFERROR(AVERAGE($I7:R7),"")</f>
        <v>1431.7916</v>
      </c>
      <c r="AP7" s="150">
        <f>IFERROR(AVERAGE($I7:S7),"")</f>
        <v>1488.1019999999999</v>
      </c>
      <c r="AQ7" s="150">
        <f>IFERROR(AVERAGE($I7:T7),"")</f>
        <v>1450.7582499999999</v>
      </c>
      <c r="AR7" s="150">
        <f>IFERROR(AVERAGE($I7:U7),"")</f>
        <v>1410.1284615384614</v>
      </c>
      <c r="AS7" s="150">
        <f>IFERROR(AVERAGE($I7:V7),"")</f>
        <v>1336.6077142857141</v>
      </c>
      <c r="AT7" s="150">
        <f>IFERROR(AVERAGE($I7:W7),"")</f>
        <v>1412.6267333333333</v>
      </c>
      <c r="AU7" s="150">
        <f>IFERROR(AVERAGE($I7:X7),"")</f>
        <v>1352.6633124999998</v>
      </c>
      <c r="AV7" s="150">
        <f>IFERROR(AVERAGE($I7:Y7),"")</f>
        <v>1396.1978235294116</v>
      </c>
      <c r="AW7" s="150">
        <f>IFERROR(AVERAGE($I7:Z7),"")</f>
        <v>1364.3605555555555</v>
      </c>
      <c r="AX7" s="150">
        <f>IFERROR(AVERAGE($I7:AA7),"")</f>
        <v>1350.787894736842</v>
      </c>
      <c r="AY7" s="150">
        <f>IFERROR(AVERAGE($I7:AB7),"")</f>
        <v>1326.4783499999999</v>
      </c>
      <c r="AZ7" s="150">
        <f>IFERROR(AVERAGE($I7:AC7),"")</f>
        <v>1315.047761904762</v>
      </c>
      <c r="BA7" s="148">
        <f>IFERROR(AVERAGE($I7:AD7),"")</f>
        <v>1341.2678181818183</v>
      </c>
      <c r="BB7" s="149">
        <f t="shared" si="1"/>
        <v>1341.2678181818183</v>
      </c>
      <c r="BC7" s="148">
        <f t="shared" si="1"/>
        <v>1341.2678181818183</v>
      </c>
      <c r="BD7" s="45" t="str">
        <f t="shared" si="2"/>
        <v/>
      </c>
      <c r="BE7" s="45">
        <f t="shared" si="2"/>
        <v>4793078.276100006</v>
      </c>
      <c r="BF7" s="45">
        <f t="shared" si="2"/>
        <v>25192.038400000227</v>
      </c>
      <c r="BG7" s="45">
        <f t="shared" si="2"/>
        <v>65237.503333444562</v>
      </c>
      <c r="BH7" s="45">
        <f t="shared" si="2"/>
        <v>290532.04960506293</v>
      </c>
      <c r="BI7" s="45">
        <f t="shared" si="2"/>
        <v>568551.89096644055</v>
      </c>
      <c r="BJ7" s="45">
        <f t="shared" si="2"/>
        <v>11216.53976669443</v>
      </c>
      <c r="BK7" s="45">
        <f t="shared" si="2"/>
        <v>13629.294958041013</v>
      </c>
      <c r="BL7" s="45">
        <f t="shared" si="2"/>
        <v>108425.6476802502</v>
      </c>
      <c r="BM7" s="45">
        <f t="shared" si="2"/>
        <v>513154.77548093651</v>
      </c>
      <c r="BN7" s="45">
        <f t="shared" si="2"/>
        <v>383674.1989273607</v>
      </c>
      <c r="BO7" s="45">
        <f t="shared" si="2"/>
        <v>200816.015625</v>
      </c>
      <c r="BP7" s="45">
        <f t="shared" si="2"/>
        <v>278981.7710625623</v>
      </c>
      <c r="BQ7" s="45">
        <f t="shared" si="2"/>
        <v>1059438.854214059</v>
      </c>
      <c r="BR7" s="45">
        <f t="shared" si="2"/>
        <v>1300250.5328165106</v>
      </c>
      <c r="BS7" s="45">
        <f t="shared" si="2"/>
        <v>920476.6305370715</v>
      </c>
      <c r="BT7" s="45">
        <f t="shared" si="3"/>
        <v>547728.30501472217</v>
      </c>
      <c r="BU7" s="45">
        <f t="shared" si="3"/>
        <v>328410.16878067784</v>
      </c>
      <c r="BV7" s="45">
        <f t="shared" si="3"/>
        <v>66502.380933641936</v>
      </c>
      <c r="BW7" s="45">
        <f t="shared" si="3"/>
        <v>236381.58612501106</v>
      </c>
      <c r="BX7" s="45">
        <f t="shared" si="3"/>
        <v>57620.329793522251</v>
      </c>
      <c r="BY7" s="45">
        <f t="shared" si="3"/>
        <v>332745.81396724726</v>
      </c>
      <c r="BZ7" s="92">
        <f t="shared" si="4"/>
        <v>759.13624487961135</v>
      </c>
      <c r="CA7" s="47">
        <f t="shared" si="5"/>
        <v>0.40125834278840422</v>
      </c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93"/>
      <c r="CY7" s="93"/>
      <c r="CZ7" s="93"/>
      <c r="DA7" s="60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60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25" t="str">
        <f t="shared" si="6"/>
        <v>arithmetic average4</v>
      </c>
    </row>
    <row r="8" spans="1:177">
      <c r="A8" s="113"/>
      <c r="B8" s="113"/>
      <c r="C8" s="113"/>
      <c r="D8" s="113"/>
      <c r="E8" s="113"/>
      <c r="F8" s="114"/>
      <c r="G8" s="42" t="s">
        <v>40</v>
      </c>
      <c r="H8" s="40">
        <v>5</v>
      </c>
      <c r="I8" s="41">
        <v>590.74400000000014</v>
      </c>
      <c r="J8" s="41">
        <v>126.19599999999998</v>
      </c>
      <c r="K8" s="41">
        <v>73.710000000000008</v>
      </c>
      <c r="L8" s="41">
        <v>245.74300000000002</v>
      </c>
      <c r="M8" s="41">
        <v>257</v>
      </c>
      <c r="N8" s="41">
        <v>246</v>
      </c>
      <c r="O8" s="41">
        <v>142</v>
      </c>
      <c r="P8" s="41">
        <v>141</v>
      </c>
      <c r="Q8" s="41">
        <v>140</v>
      </c>
      <c r="R8" s="41">
        <v>269</v>
      </c>
      <c r="S8" s="41">
        <v>255</v>
      </c>
      <c r="T8" s="41">
        <v>268</v>
      </c>
      <c r="U8" s="41">
        <v>148</v>
      </c>
      <c r="V8" s="41">
        <v>141</v>
      </c>
      <c r="W8" s="41">
        <v>130</v>
      </c>
      <c r="X8" s="41">
        <v>256</v>
      </c>
      <c r="Y8" s="41">
        <v>263</v>
      </c>
      <c r="Z8" s="41">
        <v>278</v>
      </c>
      <c r="AA8" s="41">
        <v>133</v>
      </c>
      <c r="AB8" s="41">
        <v>133</v>
      </c>
      <c r="AC8" s="41">
        <v>148</v>
      </c>
      <c r="AD8" s="41">
        <v>273</v>
      </c>
      <c r="AE8" s="150"/>
      <c r="AF8" s="150">
        <f>IFERROR(AVERAGE($I8:I8),"")</f>
        <v>590.74400000000014</v>
      </c>
      <c r="AG8" s="150">
        <f>IFERROR(AVERAGE($I8:J8),"")</f>
        <v>358.47000000000008</v>
      </c>
      <c r="AH8" s="150">
        <f>IFERROR(AVERAGE($I8:K8),"")</f>
        <v>263.55000000000007</v>
      </c>
      <c r="AI8" s="150">
        <f>IFERROR(AVERAGE($I8:L8),"")</f>
        <v>259.09825000000006</v>
      </c>
      <c r="AJ8" s="150">
        <f>IFERROR(AVERAGE($I8:M8),"")</f>
        <v>258.67860000000007</v>
      </c>
      <c r="AK8" s="150">
        <f>IFERROR(AVERAGE($I8:N8),"")</f>
        <v>256.56550000000004</v>
      </c>
      <c r="AL8" s="150">
        <f>IFERROR(AVERAGE($I8:O8),"")</f>
        <v>240.19900000000004</v>
      </c>
      <c r="AM8" s="150">
        <f>IFERROR(AVERAGE($I8:P8),"")</f>
        <v>227.79912500000003</v>
      </c>
      <c r="AN8" s="150">
        <f>IFERROR(AVERAGE($I8:Q8),"")</f>
        <v>218.0436666666667</v>
      </c>
      <c r="AO8" s="150">
        <f>IFERROR(AVERAGE($I8:R8),"")</f>
        <v>223.13929999999999</v>
      </c>
      <c r="AP8" s="150">
        <f>IFERROR(AVERAGE($I8:S8),"")</f>
        <v>226.03572727272729</v>
      </c>
      <c r="AQ8" s="150">
        <f>IFERROR(AVERAGE($I8:T8),"")</f>
        <v>229.53274999999999</v>
      </c>
      <c r="AR8" s="150">
        <f>IFERROR(AVERAGE($I8:U8),"")</f>
        <v>223.261</v>
      </c>
      <c r="AS8" s="150">
        <f>IFERROR(AVERAGE($I8:V8),"")</f>
        <v>217.38521428571428</v>
      </c>
      <c r="AT8" s="150">
        <f>IFERROR(AVERAGE($I8:W8),"")</f>
        <v>211.55953333333335</v>
      </c>
      <c r="AU8" s="150">
        <f>IFERROR(AVERAGE($I8:X8),"")</f>
        <v>214.3370625</v>
      </c>
      <c r="AV8" s="150">
        <f>IFERROR(AVERAGE($I8:Y8),"")</f>
        <v>217.19958823529413</v>
      </c>
      <c r="AW8" s="150">
        <f>IFERROR(AVERAGE($I8:Z8),"")</f>
        <v>220.57738888888889</v>
      </c>
      <c r="AX8" s="150">
        <f>IFERROR(AVERAGE($I8:AA8),"")</f>
        <v>215.96805263157896</v>
      </c>
      <c r="AY8" s="150">
        <f>IFERROR(AVERAGE($I8:AB8),"")</f>
        <v>211.81965</v>
      </c>
      <c r="AZ8" s="150">
        <f>IFERROR(AVERAGE($I8:AC8),"")</f>
        <v>208.78061904761904</v>
      </c>
      <c r="BA8" s="148">
        <f>IFERROR(AVERAGE($I8:AD8),"")</f>
        <v>211.69968181818183</v>
      </c>
      <c r="BB8" s="149">
        <f t="shared" si="1"/>
        <v>211.69968181818183</v>
      </c>
      <c r="BC8" s="148">
        <f t="shared" si="1"/>
        <v>211.69968181818183</v>
      </c>
      <c r="BD8" s="45" t="str">
        <f t="shared" si="2"/>
        <v/>
      </c>
      <c r="BE8" s="45">
        <f t="shared" si="2"/>
        <v>215804.84430400017</v>
      </c>
      <c r="BF8" s="45">
        <f t="shared" si="2"/>
        <v>81088.257600000055</v>
      </c>
      <c r="BG8" s="45">
        <f t="shared" si="2"/>
        <v>317.08924900000159</v>
      </c>
      <c r="BH8" s="45">
        <f t="shared" si="2"/>
        <v>4.4026530625002689</v>
      </c>
      <c r="BI8" s="45">
        <f t="shared" si="2"/>
        <v>160.74689796000189</v>
      </c>
      <c r="BJ8" s="45">
        <f t="shared" si="2"/>
        <v>13125.25379025001</v>
      </c>
      <c r="BK8" s="45">
        <f t="shared" si="2"/>
        <v>9840.4416010000077</v>
      </c>
      <c r="BL8" s="45">
        <f t="shared" si="2"/>
        <v>7708.6863507656308</v>
      </c>
      <c r="BM8" s="45">
        <f t="shared" si="2"/>
        <v>2596.5479067777751</v>
      </c>
      <c r="BN8" s="45">
        <f t="shared" si="2"/>
        <v>1015.1042044900005</v>
      </c>
      <c r="BO8" s="45">
        <f t="shared" si="2"/>
        <v>1761.0001855289245</v>
      </c>
      <c r="BP8" s="45">
        <f t="shared" si="2"/>
        <v>6647.5893225624986</v>
      </c>
      <c r="BQ8" s="45">
        <f t="shared" si="2"/>
        <v>6766.8721209999994</v>
      </c>
      <c r="BR8" s="45">
        <f t="shared" si="2"/>
        <v>7636.1756757602034</v>
      </c>
      <c r="BS8" s="45">
        <f t="shared" si="2"/>
        <v>1974.9550775511098</v>
      </c>
      <c r="BT8" s="45">
        <f t="shared" si="3"/>
        <v>2368.0814861289059</v>
      </c>
      <c r="BU8" s="45">
        <f t="shared" si="3"/>
        <v>3696.6900707577838</v>
      </c>
      <c r="BV8" s="45">
        <f t="shared" si="3"/>
        <v>7669.7990445956793</v>
      </c>
      <c r="BW8" s="45">
        <f t="shared" si="3"/>
        <v>6883.697757476456</v>
      </c>
      <c r="BX8" s="45">
        <f t="shared" si="3"/>
        <v>4072.9477261224993</v>
      </c>
      <c r="BY8" s="45">
        <f t="shared" si="3"/>
        <v>4124.1288899070305</v>
      </c>
      <c r="BZ8" s="92">
        <f t="shared" si="4"/>
        <v>135.44693424340755</v>
      </c>
      <c r="CA8" s="47">
        <f t="shared" si="5"/>
        <v>0.49614261627621814</v>
      </c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93"/>
      <c r="CY8" s="93"/>
      <c r="CZ8" s="93"/>
      <c r="DA8" s="60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60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25" t="str">
        <f t="shared" si="6"/>
        <v>arithmetic average5</v>
      </c>
    </row>
    <row r="9" spans="1:177">
      <c r="A9" s="115"/>
      <c r="B9" s="115"/>
      <c r="C9" s="115"/>
      <c r="D9" s="115"/>
      <c r="E9" s="115"/>
      <c r="F9" s="116"/>
      <c r="G9" s="42" t="s">
        <v>40</v>
      </c>
      <c r="H9" s="40">
        <v>6</v>
      </c>
      <c r="I9" s="41"/>
      <c r="J9" s="41"/>
      <c r="K9" s="41"/>
      <c r="L9" s="41"/>
      <c r="M9" s="41"/>
      <c r="N9" s="41"/>
      <c r="O9" s="41">
        <v>266.03799999999995</v>
      </c>
      <c r="P9" s="41">
        <v>232.57400000000007</v>
      </c>
      <c r="Q9" s="41">
        <v>115.23299999999999</v>
      </c>
      <c r="R9" s="41">
        <v>203.98799999999997</v>
      </c>
      <c r="S9" s="41">
        <v>180.53700000000001</v>
      </c>
      <c r="T9" s="41">
        <v>869.18299999999977</v>
      </c>
      <c r="U9" s="41">
        <v>1078.4489999999998</v>
      </c>
      <c r="V9" s="41">
        <v>1258.0669999999996</v>
      </c>
      <c r="W9" s="41">
        <v>1027.184</v>
      </c>
      <c r="X9" s="41">
        <v>624.39099999999996</v>
      </c>
      <c r="Y9" s="41">
        <v>1201.8340000000001</v>
      </c>
      <c r="Z9" s="41">
        <v>548.27800000000002</v>
      </c>
      <c r="AA9" s="41">
        <v>1219.8130000000006</v>
      </c>
      <c r="AB9" s="41">
        <v>393.93799999999987</v>
      </c>
      <c r="AC9" s="41">
        <v>240.81100000000015</v>
      </c>
      <c r="AD9" s="41">
        <v>1097.4179999999999</v>
      </c>
      <c r="AE9" s="150"/>
      <c r="AF9" s="150" t="str">
        <f>IFERROR(AVERAGE($I9:I9),"")</f>
        <v/>
      </c>
      <c r="AG9" s="150" t="str">
        <f>IFERROR(AVERAGE($I9:J9),"")</f>
        <v/>
      </c>
      <c r="AH9" s="150" t="str">
        <f>IFERROR(AVERAGE($I9:K9),"")</f>
        <v/>
      </c>
      <c r="AI9" s="150" t="str">
        <f>IFERROR(AVERAGE($I9:L9),"")</f>
        <v/>
      </c>
      <c r="AJ9" s="150" t="str">
        <f>IFERROR(AVERAGE($I9:M9),"")</f>
        <v/>
      </c>
      <c r="AK9" s="150" t="str">
        <f>IFERROR(AVERAGE($I9:N9),"")</f>
        <v/>
      </c>
      <c r="AL9" s="150">
        <f>IFERROR(AVERAGE($I9:O9),"")</f>
        <v>266.03799999999995</v>
      </c>
      <c r="AM9" s="150">
        <f>IFERROR(AVERAGE($I9:P9),"")</f>
        <v>249.30600000000001</v>
      </c>
      <c r="AN9" s="150">
        <f>IFERROR(AVERAGE($I9:Q9),"")</f>
        <v>204.61500000000001</v>
      </c>
      <c r="AO9" s="150">
        <f>IFERROR(AVERAGE($I9:R9),"")</f>
        <v>204.45824999999999</v>
      </c>
      <c r="AP9" s="150">
        <f>IFERROR(AVERAGE($I9:S9),"")</f>
        <v>199.67400000000001</v>
      </c>
      <c r="AQ9" s="150">
        <f>IFERROR(AVERAGE($I9:T9),"")</f>
        <v>311.25883333333331</v>
      </c>
      <c r="AR9" s="150">
        <f>IFERROR(AVERAGE($I9:U9),"")</f>
        <v>420.8574285714285</v>
      </c>
      <c r="AS9" s="150">
        <f>IFERROR(AVERAGE($I9:V9),"")</f>
        <v>525.50862499999994</v>
      </c>
      <c r="AT9" s="150">
        <f>IFERROR(AVERAGE($I9:W9),"")</f>
        <v>581.25033333333329</v>
      </c>
      <c r="AU9" s="150">
        <f>IFERROR(AVERAGE($I9:X9),"")</f>
        <v>585.56439999999998</v>
      </c>
      <c r="AV9" s="150">
        <f>IFERROR(AVERAGE($I9:Y9),"")</f>
        <v>641.58890909090906</v>
      </c>
      <c r="AW9" s="150">
        <f>IFERROR(AVERAGE($I9:Z9),"")</f>
        <v>633.81299999999999</v>
      </c>
      <c r="AX9" s="150">
        <f>IFERROR(AVERAGE($I9:AA9),"")</f>
        <v>678.88992307692308</v>
      </c>
      <c r="AY9" s="150">
        <f>IFERROR(AVERAGE($I9:AB9),"")</f>
        <v>658.53621428571421</v>
      </c>
      <c r="AZ9" s="150">
        <f>IFERROR(AVERAGE($I9:AC9),"")</f>
        <v>630.68786666666665</v>
      </c>
      <c r="BA9" s="148">
        <f>IFERROR(AVERAGE($I9:AD9),"")</f>
        <v>659.85849999999994</v>
      </c>
      <c r="BB9" s="149">
        <f t="shared" si="1"/>
        <v>659.85849999999994</v>
      </c>
      <c r="BC9" s="148">
        <f t="shared" si="1"/>
        <v>659.85849999999994</v>
      </c>
      <c r="BD9" s="45" t="str">
        <f t="shared" si="2"/>
        <v/>
      </c>
      <c r="BE9" s="45" t="str">
        <f t="shared" si="2"/>
        <v/>
      </c>
      <c r="BF9" s="45" t="str">
        <f t="shared" si="2"/>
        <v/>
      </c>
      <c r="BG9" s="45" t="str">
        <f t="shared" si="2"/>
        <v/>
      </c>
      <c r="BH9" s="45" t="str">
        <f t="shared" si="2"/>
        <v/>
      </c>
      <c r="BI9" s="45" t="str">
        <f t="shared" si="2"/>
        <v/>
      </c>
      <c r="BJ9" s="45" t="str">
        <f t="shared" si="2"/>
        <v/>
      </c>
      <c r="BK9" s="45">
        <f t="shared" si="2"/>
        <v>1119.8392959999924</v>
      </c>
      <c r="BL9" s="45">
        <f t="shared" si="2"/>
        <v>17975.569329000009</v>
      </c>
      <c r="BM9" s="45">
        <f t="shared" si="2"/>
        <v>0.39312900000004763</v>
      </c>
      <c r="BN9" s="45">
        <f t="shared" si="2"/>
        <v>572.22620156249934</v>
      </c>
      <c r="BO9" s="45">
        <f t="shared" si="2"/>
        <v>448242.30108099972</v>
      </c>
      <c r="BP9" s="45">
        <f t="shared" si="2"/>
        <v>588580.75183002756</v>
      </c>
      <c r="BQ9" s="45">
        <f t="shared" si="2"/>
        <v>700919.86649161158</v>
      </c>
      <c r="BR9" s="45">
        <f t="shared" si="2"/>
        <v>251678.18188139066</v>
      </c>
      <c r="BS9" s="45">
        <f t="shared" si="2"/>
        <v>1861.1171204444452</v>
      </c>
      <c r="BT9" s="45">
        <f t="shared" si="3"/>
        <v>379788.21988416009</v>
      </c>
      <c r="BU9" s="45">
        <f t="shared" si="3"/>
        <v>8706.9257553718908</v>
      </c>
      <c r="BV9" s="45">
        <f t="shared" si="3"/>
        <v>343396.00000000064</v>
      </c>
      <c r="BW9" s="45">
        <f t="shared" si="3"/>
        <v>81197.598465236762</v>
      </c>
      <c r="BX9" s="45">
        <f t="shared" si="3"/>
        <v>174494.35465004572</v>
      </c>
      <c r="BY9" s="45">
        <f t="shared" si="3"/>
        <v>217837.01736135103</v>
      </c>
      <c r="BZ9" s="92">
        <f t="shared" si="4"/>
        <v>463.06013738147101</v>
      </c>
      <c r="CA9" s="47">
        <f t="shared" si="5"/>
        <v>0.42195420284838692</v>
      </c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93"/>
      <c r="CY9" s="93"/>
      <c r="CZ9" s="93"/>
      <c r="DA9" s="60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60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25" t="str">
        <f t="shared" si="6"/>
        <v>arithmetic average6</v>
      </c>
    </row>
    <row r="10" spans="1:177">
      <c r="A10" s="113"/>
      <c r="B10" s="113"/>
      <c r="C10" s="113"/>
      <c r="D10" s="113"/>
      <c r="E10" s="113"/>
      <c r="F10" s="114"/>
      <c r="G10" s="42" t="s">
        <v>40</v>
      </c>
      <c r="H10" s="40">
        <v>7</v>
      </c>
      <c r="I10" s="41">
        <v>198</v>
      </c>
      <c r="J10" s="41">
        <v>186</v>
      </c>
      <c r="K10" s="41">
        <v>177.429</v>
      </c>
      <c r="L10" s="41">
        <v>157</v>
      </c>
      <c r="M10" s="41">
        <v>126.622</v>
      </c>
      <c r="N10" s="41">
        <v>177.429</v>
      </c>
      <c r="O10" s="41">
        <v>157</v>
      </c>
      <c r="P10" s="41">
        <v>126.622</v>
      </c>
      <c r="Q10" s="41">
        <v>177.429</v>
      </c>
      <c r="R10" s="41">
        <v>157</v>
      </c>
      <c r="S10" s="41">
        <v>126.622</v>
      </c>
      <c r="T10" s="41">
        <v>177.429</v>
      </c>
      <c r="U10" s="41">
        <v>157</v>
      </c>
      <c r="V10" s="41">
        <v>126.622</v>
      </c>
      <c r="W10" s="41">
        <v>128.38799999999998</v>
      </c>
      <c r="X10" s="41">
        <v>203.08599999999998</v>
      </c>
      <c r="Y10" s="41">
        <v>177.429</v>
      </c>
      <c r="Z10" s="41">
        <v>157</v>
      </c>
      <c r="AA10" s="41">
        <v>126.622</v>
      </c>
      <c r="AB10" s="41">
        <v>165</v>
      </c>
      <c r="AC10" s="41">
        <v>121.236</v>
      </c>
      <c r="AD10" s="41">
        <v>127.90299999999999</v>
      </c>
      <c r="AE10" s="150"/>
      <c r="AF10" s="150">
        <f>IFERROR(AVERAGE($I10:I10),"")</f>
        <v>198</v>
      </c>
      <c r="AG10" s="150">
        <f>IFERROR(AVERAGE($I10:J10),"")</f>
        <v>192</v>
      </c>
      <c r="AH10" s="150">
        <f>IFERROR(AVERAGE($I10:K10),"")</f>
        <v>187.143</v>
      </c>
      <c r="AI10" s="150">
        <f>IFERROR(AVERAGE($I10:L10),"")</f>
        <v>179.60724999999999</v>
      </c>
      <c r="AJ10" s="150">
        <f>IFERROR(AVERAGE($I10:M10),"")</f>
        <v>169.0102</v>
      </c>
      <c r="AK10" s="150">
        <f>IFERROR(AVERAGE($I10:N10),"")</f>
        <v>170.41333333333333</v>
      </c>
      <c r="AL10" s="150">
        <f>IFERROR(AVERAGE($I10:O10),"")</f>
        <v>168.49714285714285</v>
      </c>
      <c r="AM10" s="150">
        <f>IFERROR(AVERAGE($I10:P10),"")</f>
        <v>163.26275000000001</v>
      </c>
      <c r="AN10" s="150">
        <f>IFERROR(AVERAGE($I10:Q10),"")</f>
        <v>164.8367777777778</v>
      </c>
      <c r="AO10" s="150">
        <f>IFERROR(AVERAGE($I10:R10),"")</f>
        <v>164.05310000000003</v>
      </c>
      <c r="AP10" s="150">
        <f>IFERROR(AVERAGE($I10:S10),"")</f>
        <v>160.65027272727275</v>
      </c>
      <c r="AQ10" s="150">
        <f>IFERROR(AVERAGE($I10:T10),"")</f>
        <v>162.04850000000002</v>
      </c>
      <c r="AR10" s="150">
        <f>IFERROR(AVERAGE($I10:U10),"")</f>
        <v>161.66015384615386</v>
      </c>
      <c r="AS10" s="150">
        <f>IFERROR(AVERAGE($I10:V10),"")</f>
        <v>159.1574285714286</v>
      </c>
      <c r="AT10" s="150">
        <f>IFERROR(AVERAGE($I10:W10),"")</f>
        <v>157.10613333333333</v>
      </c>
      <c r="AU10" s="150">
        <f>IFERROR(AVERAGE($I10:X10),"")</f>
        <v>159.97987499999999</v>
      </c>
      <c r="AV10" s="150">
        <f>IFERROR(AVERAGE($I10:Y10),"")</f>
        <v>161.00629411764706</v>
      </c>
      <c r="AW10" s="150">
        <f>IFERROR(AVERAGE($I10:Z10),"")</f>
        <v>160.78372222222222</v>
      </c>
      <c r="AX10" s="150">
        <f>IFERROR(AVERAGE($I10:AA10),"")</f>
        <v>158.98573684210524</v>
      </c>
      <c r="AY10" s="150">
        <f>IFERROR(AVERAGE($I10:AB10),"")</f>
        <v>159.28645</v>
      </c>
      <c r="AZ10" s="150">
        <f>IFERROR(AVERAGE($I10:AC10),"")</f>
        <v>157.47452380952379</v>
      </c>
      <c r="BA10" s="148">
        <f>IFERROR(AVERAGE($I10:AD10),"")</f>
        <v>156.13036363636363</v>
      </c>
      <c r="BB10" s="149">
        <f t="shared" si="1"/>
        <v>156.13036363636363</v>
      </c>
      <c r="BC10" s="148">
        <f t="shared" si="1"/>
        <v>156.13036363636363</v>
      </c>
      <c r="BD10" s="45" t="str">
        <f t="shared" si="2"/>
        <v/>
      </c>
      <c r="BE10" s="45">
        <f t="shared" si="2"/>
        <v>144</v>
      </c>
      <c r="BF10" s="45">
        <f t="shared" si="2"/>
        <v>212.31404099999995</v>
      </c>
      <c r="BG10" s="45">
        <f t="shared" si="2"/>
        <v>908.60044900000003</v>
      </c>
      <c r="BH10" s="45">
        <f t="shared" si="2"/>
        <v>2807.4367175624993</v>
      </c>
      <c r="BI10" s="45">
        <f t="shared" si="2"/>
        <v>70.87619344000008</v>
      </c>
      <c r="BJ10" s="45">
        <f t="shared" si="2"/>
        <v>179.91751111111094</v>
      </c>
      <c r="BK10" s="45">
        <f t="shared" si="2"/>
        <v>1753.5275893061216</v>
      </c>
      <c r="BL10" s="45">
        <f t="shared" si="2"/>
        <v>200.68263906249973</v>
      </c>
      <c r="BM10" s="45">
        <f t="shared" si="2"/>
        <v>61.415085938271915</v>
      </c>
      <c r="BN10" s="45">
        <f t="shared" si="2"/>
        <v>1401.0872472100023</v>
      </c>
      <c r="BO10" s="45">
        <f t="shared" si="2"/>
        <v>281.52568889256128</v>
      </c>
      <c r="BP10" s="45">
        <f t="shared" si="2"/>
        <v>25.487352250000185</v>
      </c>
      <c r="BQ10" s="45">
        <f t="shared" si="2"/>
        <v>1227.6722249467466</v>
      </c>
      <c r="BR10" s="45">
        <f t="shared" si="2"/>
        <v>946.75773461224787</v>
      </c>
      <c r="BS10" s="45">
        <f t="shared" si="2"/>
        <v>2114.148138684443</v>
      </c>
      <c r="BT10" s="45">
        <f t="shared" si="3"/>
        <v>304.47196326562533</v>
      </c>
      <c r="BU10" s="45">
        <f t="shared" si="3"/>
        <v>16.050392557093424</v>
      </c>
      <c r="BV10" s="45">
        <f t="shared" si="3"/>
        <v>1167.0232651882718</v>
      </c>
      <c r="BW10" s="45">
        <f t="shared" si="3"/>
        <v>36.17136133241025</v>
      </c>
      <c r="BX10" s="45">
        <f t="shared" si="3"/>
        <v>1447.8367452024997</v>
      </c>
      <c r="BY10" s="45">
        <f t="shared" si="3"/>
        <v>874.47502041723283</v>
      </c>
      <c r="BZ10" s="92">
        <f t="shared" si="4"/>
        <v>27.75872008935265</v>
      </c>
      <c r="CA10" s="47">
        <f t="shared" si="5"/>
        <v>0.21702946834204556</v>
      </c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93"/>
      <c r="CY10" s="93"/>
      <c r="CZ10" s="93"/>
      <c r="DA10" s="60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60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25" t="str">
        <f t="shared" si="6"/>
        <v>arithmetic average7</v>
      </c>
    </row>
    <row r="11" spans="1:177">
      <c r="A11" s="115"/>
      <c r="B11" s="115"/>
      <c r="C11" s="115"/>
      <c r="D11" s="115"/>
      <c r="E11" s="115"/>
      <c r="F11" s="116"/>
      <c r="G11" s="42" t="s">
        <v>40</v>
      </c>
      <c r="H11" s="40">
        <v>8</v>
      </c>
      <c r="I11" s="41">
        <v>6.597999999999999</v>
      </c>
      <c r="J11" s="41">
        <v>14.509</v>
      </c>
      <c r="K11" s="41">
        <v>34</v>
      </c>
      <c r="L11" s="41">
        <v>36.616999999999976</v>
      </c>
      <c r="M11" s="41">
        <v>48.298000000000044</v>
      </c>
      <c r="N11" s="41">
        <v>50.913000000000054</v>
      </c>
      <c r="O11" s="41">
        <v>169.95999999999992</v>
      </c>
      <c r="P11" s="41">
        <v>158.32199999999997</v>
      </c>
      <c r="Q11" s="41">
        <v>169.77099999999999</v>
      </c>
      <c r="R11" s="41">
        <v>180</v>
      </c>
      <c r="S11" s="41">
        <v>127</v>
      </c>
      <c r="T11" s="41">
        <v>143.11099999999993</v>
      </c>
      <c r="U11" s="41">
        <v>167</v>
      </c>
      <c r="V11" s="41">
        <v>150</v>
      </c>
      <c r="W11" s="41">
        <v>199.79</v>
      </c>
      <c r="X11" s="41">
        <v>203.78579999999999</v>
      </c>
      <c r="Y11" s="41">
        <v>216.01294799999999</v>
      </c>
      <c r="Z11" s="41">
        <v>233.29398384000001</v>
      </c>
      <c r="AA11" s="41">
        <v>235.6269236784</v>
      </c>
      <c r="AB11" s="41">
        <v>245.05200062553601</v>
      </c>
      <c r="AC11" s="41">
        <v>259.75512066306817</v>
      </c>
      <c r="AD11" s="41">
        <v>283.13308152274431</v>
      </c>
      <c r="AE11" s="150"/>
      <c r="AF11" s="150">
        <f>IFERROR(AVERAGE($I11:I11),"")</f>
        <v>6.597999999999999</v>
      </c>
      <c r="AG11" s="150">
        <f>IFERROR(AVERAGE($I11:J11),"")</f>
        <v>10.5535</v>
      </c>
      <c r="AH11" s="150">
        <f>IFERROR(AVERAGE($I11:K11),"")</f>
        <v>18.369</v>
      </c>
      <c r="AI11" s="150">
        <f>IFERROR(AVERAGE($I11:L11),"")</f>
        <v>22.930999999999994</v>
      </c>
      <c r="AJ11" s="150">
        <f>IFERROR(AVERAGE($I11:M11),"")</f>
        <v>28.004400000000004</v>
      </c>
      <c r="AK11" s="150">
        <f>IFERROR(AVERAGE($I11:N11),"")</f>
        <v>31.822500000000009</v>
      </c>
      <c r="AL11" s="150">
        <f>IFERROR(AVERAGE($I11:O11),"")</f>
        <v>51.556428571428569</v>
      </c>
      <c r="AM11" s="150">
        <f>IFERROR(AVERAGE($I11:P11),"")</f>
        <v>64.902124999999998</v>
      </c>
      <c r="AN11" s="150">
        <f>IFERROR(AVERAGE($I11:Q11),"")</f>
        <v>76.554222222222222</v>
      </c>
      <c r="AO11" s="150">
        <f>IFERROR(AVERAGE($I11:R11),"")</f>
        <v>86.898799999999994</v>
      </c>
      <c r="AP11" s="150">
        <f>IFERROR(AVERAGE($I11:S11),"")</f>
        <v>90.544363636363627</v>
      </c>
      <c r="AQ11" s="150">
        <f>IFERROR(AVERAGE($I11:T11),"")</f>
        <v>94.924916666666661</v>
      </c>
      <c r="AR11" s="150">
        <f>IFERROR(AVERAGE($I11:U11),"")</f>
        <v>100.46915384615384</v>
      </c>
      <c r="AS11" s="150">
        <f>IFERROR(AVERAGE($I11:V11),"")</f>
        <v>104.00707142857142</v>
      </c>
      <c r="AT11" s="150">
        <f>IFERROR(AVERAGE($I11:W11),"")</f>
        <v>110.39259999999999</v>
      </c>
      <c r="AU11" s="150">
        <f>IFERROR(AVERAGE($I11:X11),"")</f>
        <v>116.22967499999999</v>
      </c>
      <c r="AV11" s="150">
        <f>IFERROR(AVERAGE($I11:Y11),"")</f>
        <v>122.09927929411764</v>
      </c>
      <c r="AW11" s="150">
        <f>IFERROR(AVERAGE($I11:Z11),"")</f>
        <v>128.27676288000001</v>
      </c>
      <c r="AX11" s="150">
        <f>IFERROR(AVERAGE($I11:AA11),"")</f>
        <v>133.92677134307368</v>
      </c>
      <c r="AY11" s="150">
        <f>IFERROR(AVERAGE($I11:AB11),"")</f>
        <v>139.48303280719682</v>
      </c>
      <c r="AZ11" s="150">
        <f>IFERROR(AVERAGE($I11:AC11),"")</f>
        <v>145.21027508604783</v>
      </c>
      <c r="BA11" s="148">
        <f>IFERROR(AVERAGE($I11:AD11),"")</f>
        <v>151.47949356044313</v>
      </c>
      <c r="BB11" s="149">
        <f t="shared" si="1"/>
        <v>151.47949356044313</v>
      </c>
      <c r="BC11" s="148">
        <f t="shared" si="1"/>
        <v>151.47949356044313</v>
      </c>
      <c r="BD11" s="45" t="str">
        <f t="shared" si="2"/>
        <v/>
      </c>
      <c r="BE11" s="45">
        <f t="shared" si="2"/>
        <v>62.583921000000025</v>
      </c>
      <c r="BF11" s="45">
        <f t="shared" si="2"/>
        <v>549.73836225000002</v>
      </c>
      <c r="BG11" s="45">
        <f t="shared" si="2"/>
        <v>332.98950399999916</v>
      </c>
      <c r="BH11" s="45">
        <f t="shared" si="2"/>
        <v>643.48468900000262</v>
      </c>
      <c r="BI11" s="45">
        <f t="shared" si="2"/>
        <v>524.80395396000222</v>
      </c>
      <c r="BJ11" s="45">
        <f t="shared" si="2"/>
        <v>19081.968906249975</v>
      </c>
      <c r="BK11" s="45">
        <f t="shared" si="2"/>
        <v>11398.887242469384</v>
      </c>
      <c r="BL11" s="45">
        <f t="shared" si="2"/>
        <v>10997.480943765622</v>
      </c>
      <c r="BM11" s="45">
        <f t="shared" si="2"/>
        <v>10701.028940049382</v>
      </c>
      <c r="BN11" s="45">
        <f t="shared" si="2"/>
        <v>1608.1062414400005</v>
      </c>
      <c r="BO11" s="45">
        <f t="shared" si="2"/>
        <v>2763.2512585867707</v>
      </c>
      <c r="BP11" s="45">
        <f t="shared" si="2"/>
        <v>5194.8176375069452</v>
      </c>
      <c r="BQ11" s="45">
        <f t="shared" si="2"/>
        <v>2453.3047207159766</v>
      </c>
      <c r="BR11" s="45">
        <f t="shared" si="2"/>
        <v>9174.3694057193879</v>
      </c>
      <c r="BS11" s="45">
        <f t="shared" si="2"/>
        <v>8722.2898062400018</v>
      </c>
      <c r="BT11" s="45">
        <f t="shared" si="3"/>
        <v>9956.7015705925314</v>
      </c>
      <c r="BU11" s="45">
        <f t="shared" si="3"/>
        <v>12364.262319046074</v>
      </c>
      <c r="BV11" s="45">
        <f t="shared" si="3"/>
        <v>11524.057023442336</v>
      </c>
      <c r="BW11" s="45">
        <f t="shared" si="3"/>
        <v>12348.816583079823</v>
      </c>
      <c r="BX11" s="45">
        <f t="shared" si="3"/>
        <v>14465.375117210437</v>
      </c>
      <c r="BY11" s="45">
        <f t="shared" si="3"/>
        <v>19022.700535374443</v>
      </c>
      <c r="BZ11" s="92">
        <f t="shared" si="4"/>
        <v>88.342142960979004</v>
      </c>
      <c r="CA11" s="47">
        <f t="shared" si="5"/>
        <v>0.31201632280430786</v>
      </c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93"/>
      <c r="CY11" s="93"/>
      <c r="CZ11" s="93"/>
      <c r="DA11" s="60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60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25" t="str">
        <f t="shared" si="6"/>
        <v>arithmetic average8</v>
      </c>
    </row>
    <row r="12" spans="1:177" ht="14.45" customHeight="1" thickBot="1">
      <c r="A12" s="117"/>
      <c r="B12" s="117"/>
      <c r="C12" s="117"/>
      <c r="D12" s="117"/>
      <c r="E12" s="117"/>
      <c r="F12" s="118"/>
      <c r="G12" s="94" t="s">
        <v>40</v>
      </c>
      <c r="H12" s="96">
        <v>9</v>
      </c>
      <c r="I12" s="95">
        <v>798</v>
      </c>
      <c r="J12" s="95">
        <v>823</v>
      </c>
      <c r="K12" s="95">
        <v>839</v>
      </c>
      <c r="L12" s="41">
        <v>889.34</v>
      </c>
      <c r="M12" s="41">
        <v>969.38060000000007</v>
      </c>
      <c r="N12" s="41">
        <v>1017.8496300000002</v>
      </c>
      <c r="O12" s="41">
        <v>1109.4560967000002</v>
      </c>
      <c r="P12" s="41">
        <v>1176.0234625020003</v>
      </c>
      <c r="Q12" s="41">
        <v>1223.0644010020803</v>
      </c>
      <c r="R12" s="41">
        <v>1345.3708411022885</v>
      </c>
      <c r="S12" s="41">
        <v>1426.093091568426</v>
      </c>
      <c r="T12" s="41">
        <v>1483.1368152311632</v>
      </c>
      <c r="U12" s="41">
        <v>1631.4504967542796</v>
      </c>
      <c r="V12" s="41">
        <v>1761.966536494622</v>
      </c>
      <c r="W12" s="41">
        <v>1902.9238594141918</v>
      </c>
      <c r="X12" s="41">
        <v>1940.9823366024757</v>
      </c>
      <c r="Y12" s="41">
        <v>2115.6707468966988</v>
      </c>
      <c r="Z12" s="41">
        <v>2200.297576772567</v>
      </c>
      <c r="AA12" s="41">
        <v>2420.3273344498239</v>
      </c>
      <c r="AB12" s="41">
        <v>2468.7338811388204</v>
      </c>
      <c r="AC12" s="41">
        <v>2641.5452528185378</v>
      </c>
      <c r="AD12" s="41">
        <v>2773.6225154594649</v>
      </c>
      <c r="AE12" s="151"/>
      <c r="AF12" s="150">
        <f>IFERROR(AVERAGE($I12:I12),"")</f>
        <v>798</v>
      </c>
      <c r="AG12" s="150">
        <f>IFERROR(AVERAGE($I12:J12),"")</f>
        <v>810.5</v>
      </c>
      <c r="AH12" s="150">
        <f>IFERROR(AVERAGE($I12:K12),"")</f>
        <v>820</v>
      </c>
      <c r="AI12" s="150">
        <f>IFERROR(AVERAGE($I12:L12),"")</f>
        <v>837.33500000000004</v>
      </c>
      <c r="AJ12" s="150">
        <f>IFERROR(AVERAGE($I12:M12),"")</f>
        <v>863.74412000000007</v>
      </c>
      <c r="AK12" s="150">
        <f>IFERROR(AVERAGE($I12:N12),"")</f>
        <v>889.42837166666686</v>
      </c>
      <c r="AL12" s="150">
        <f>IFERROR(AVERAGE($I12:O12),"")</f>
        <v>920.86090381428585</v>
      </c>
      <c r="AM12" s="150">
        <f>IFERROR(AVERAGE($I12:P12),"")</f>
        <v>952.75622365025015</v>
      </c>
      <c r="AN12" s="150">
        <f>IFERROR(AVERAGE($I12:Q12),"")</f>
        <v>982.79046557823131</v>
      </c>
      <c r="AO12" s="150">
        <f>IFERROR(AVERAGE($I12:R12),"")</f>
        <v>1019.0485031306371</v>
      </c>
      <c r="AP12" s="150">
        <f>IFERROR(AVERAGE($I12:S12),"")</f>
        <v>1056.0525566249814</v>
      </c>
      <c r="AQ12" s="150">
        <f>IFERROR(AVERAGE($I12:T12),"")</f>
        <v>1091.6429115088299</v>
      </c>
      <c r="AR12" s="150">
        <f>IFERROR(AVERAGE($I12:U12),"")</f>
        <v>1133.1665719123262</v>
      </c>
      <c r="AS12" s="150">
        <f>IFERROR(AVERAGE($I12:V12),"")</f>
        <v>1178.0808550967758</v>
      </c>
      <c r="AT12" s="150">
        <f>IFERROR(AVERAGE($I12:W12),"")</f>
        <v>1226.4037220512703</v>
      </c>
      <c r="AU12" s="150">
        <f>IFERROR(AVERAGE($I12:X12),"")</f>
        <v>1271.0648854607207</v>
      </c>
      <c r="AV12" s="150">
        <f>IFERROR(AVERAGE($I12:Y12),"")</f>
        <v>1320.7475831922488</v>
      </c>
      <c r="AW12" s="150">
        <f>IFERROR(AVERAGE($I12:Z12),"")</f>
        <v>1369.6114717244886</v>
      </c>
      <c r="AX12" s="150">
        <f>IFERROR(AVERAGE($I12:AA12),"")</f>
        <v>1424.9123066047694</v>
      </c>
      <c r="AY12" s="150">
        <f>IFERROR(AVERAGE($I12:AB12),"")</f>
        <v>1477.1033853314721</v>
      </c>
      <c r="AZ12" s="150">
        <f>IFERROR(AVERAGE($I12:AC12),"")</f>
        <v>1532.5529980689514</v>
      </c>
      <c r="BA12" s="148">
        <f>IFERROR(AVERAGE($I12:AD12),"")</f>
        <v>1588.9652488594293</v>
      </c>
      <c r="BB12" s="149">
        <f t="shared" si="1"/>
        <v>1588.9652488594293</v>
      </c>
      <c r="BC12" s="148">
        <f t="shared" si="1"/>
        <v>1588.9652488594293</v>
      </c>
      <c r="BD12" s="45" t="str">
        <f t="shared" si="2"/>
        <v/>
      </c>
      <c r="BE12" s="45">
        <f t="shared" si="2"/>
        <v>625</v>
      </c>
      <c r="BF12" s="45">
        <f t="shared" si="2"/>
        <v>812.25</v>
      </c>
      <c r="BG12" s="45">
        <f t="shared" si="2"/>
        <v>4808.0356000000047</v>
      </c>
      <c r="BH12" s="45">
        <f t="shared" si="2"/>
        <v>17436.04047936001</v>
      </c>
      <c r="BI12" s="45">
        <f t="shared" si="2"/>
        <v>23748.508212360128</v>
      </c>
      <c r="BJ12" s="45">
        <f t="shared" si="2"/>
        <v>48412.199783344149</v>
      </c>
      <c r="BK12" s="45">
        <f t="shared" si="2"/>
        <v>65107.931356061301</v>
      </c>
      <c r="BL12" s="45">
        <f t="shared" si="2"/>
        <v>73066.510743268474</v>
      </c>
      <c r="BM12" s="45">
        <f t="shared" si="2"/>
        <v>131464.52871516635</v>
      </c>
      <c r="BN12" s="45">
        <f t="shared" si="2"/>
        <v>165685.29697648893</v>
      </c>
      <c r="BO12" s="45">
        <f t="shared" si="2"/>
        <v>182400.96394919191</v>
      </c>
      <c r="BP12" s="45">
        <f t="shared" si="2"/>
        <v>291392.22908852343</v>
      </c>
      <c r="BQ12" s="45">
        <f t="shared" si="2"/>
        <v>395389.39545869653</v>
      </c>
      <c r="BR12" s="45">
        <f t="shared" si="2"/>
        <v>525397.38090789749</v>
      </c>
      <c r="BS12" s="45">
        <f t="shared" si="2"/>
        <v>510622.59637392021</v>
      </c>
      <c r="BT12" s="45">
        <f t="shared" si="3"/>
        <v>713359.06117201061</v>
      </c>
      <c r="BU12" s="45">
        <f t="shared" si="3"/>
        <v>773608.19120713777</v>
      </c>
      <c r="BV12" s="45">
        <f t="shared" si="3"/>
        <v>1104003.8241826454</v>
      </c>
      <c r="BW12" s="45">
        <f t="shared" si="3"/>
        <v>1089563.4794627454</v>
      </c>
      <c r="BX12" s="45">
        <f t="shared" si="3"/>
        <v>1355924.8627567652</v>
      </c>
      <c r="BY12" s="45">
        <f t="shared" si="3"/>
        <v>1540253.5469959222</v>
      </c>
      <c r="BZ12" s="92">
        <f t="shared" si="4"/>
        <v>655.12927962355013</v>
      </c>
      <c r="CA12" s="47">
        <f t="shared" si="5"/>
        <v>0.23619987073656437</v>
      </c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7"/>
      <c r="CY12" s="97"/>
      <c r="CZ12" s="97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4"/>
      <c r="EL12" s="94"/>
      <c r="EM12" s="94"/>
      <c r="EN12" s="94"/>
      <c r="EO12" s="94"/>
      <c r="EP12" s="94"/>
      <c r="EQ12" s="94"/>
      <c r="ER12" s="94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25" t="str">
        <f t="shared" si="6"/>
        <v>arithmetic average9</v>
      </c>
    </row>
    <row r="13" spans="1:177" ht="13.5" thickTop="1">
      <c r="A13" s="119">
        <v>0.1</v>
      </c>
      <c r="B13" s="120">
        <v>0.1</v>
      </c>
      <c r="C13" s="120">
        <v>0.15</v>
      </c>
      <c r="D13" s="120">
        <v>0.25</v>
      </c>
      <c r="E13" s="120">
        <v>0.4</v>
      </c>
      <c r="F13" s="121">
        <f t="shared" ref="F13:F21" si="7">COUNT(A13:E13)</f>
        <v>5</v>
      </c>
      <c r="G13" s="111" t="s">
        <v>41</v>
      </c>
      <c r="H13" s="40">
        <v>1</v>
      </c>
      <c r="I13" s="41">
        <v>32802.146000000001</v>
      </c>
      <c r="J13" s="41">
        <v>33904.127</v>
      </c>
      <c r="K13" s="41">
        <v>32833.296999999999</v>
      </c>
      <c r="L13" s="41">
        <v>29818.438999999988</v>
      </c>
      <c r="M13" s="41">
        <v>33431.994999999974</v>
      </c>
      <c r="N13" s="41">
        <v>28803.478000000006</v>
      </c>
      <c r="O13" s="41">
        <v>40291.759000000013</v>
      </c>
      <c r="P13" s="41">
        <v>26278.331999999999</v>
      </c>
      <c r="Q13" s="41">
        <v>42540.371000000014</v>
      </c>
      <c r="R13" s="41">
        <v>37172.433999999972</v>
      </c>
      <c r="S13" s="41">
        <v>41637.430999999997</v>
      </c>
      <c r="T13" s="41">
        <v>31219.431999999964</v>
      </c>
      <c r="U13" s="41">
        <v>28675.796000000013</v>
      </c>
      <c r="V13" s="41">
        <v>49731.127000000008</v>
      </c>
      <c r="W13" s="41">
        <v>41223.800000000025</v>
      </c>
      <c r="X13" s="41">
        <v>32654.809000000019</v>
      </c>
      <c r="Y13" s="41">
        <v>28539.58400000001</v>
      </c>
      <c r="Z13" s="41">
        <v>21790.126999999993</v>
      </c>
      <c r="AA13" s="41">
        <v>37336.114000000016</v>
      </c>
      <c r="AB13" s="41">
        <v>42632.649000000019</v>
      </c>
      <c r="AC13" s="41">
        <v>31690.889000000021</v>
      </c>
      <c r="AD13" s="41">
        <v>43097.821000000011</v>
      </c>
      <c r="AE13" s="150"/>
      <c r="AF13" s="150"/>
      <c r="AG13" s="150"/>
      <c r="AH13" s="150" t="str">
        <f ca="1">IF(COUNT(INDIRECT(ADDRESS(ROW(E13),COLUMN(K13)-$F13+1,1,1)):INDIRECT(ADDRESS(ROW(E13),COLUMN(K13),1,1)))=$F13,SUMPRODUCT(INDIRECT(ADDRESS(ROW(E13),6-D13,1,1)):INDIRECT(ADDRESS(ROW(E13),5,1,1)),INDIRECT(ADDRESS(ROW(E13),COLUMN(K13)-$F13+1,1,1)):INDIRECT(ADDRESS(ROW(E13),COLUMN(K13),1,1))),"")</f>
        <v/>
      </c>
      <c r="AI13" s="150"/>
      <c r="AJ13" s="150">
        <f ca="1">IF(COUNT(INDIRECT(ADDRESS(ROW($G13),COLUMN(M13)-$F13+1,1,1)):INDIRECT(ADDRESS(ROW($G13),COLUMN(M13),1,1)))=$F13,SUMPRODUCT(INDIRECT(ADDRESS(ROW($G13),6-$F13,1,1)):INDIRECT(ADDRESS(ROW($G13),5,1,1)),INDIRECT(ADDRESS(ROW($G13),COLUMN(M13)-$F13+1,1,1)):INDIRECT(ADDRESS(ROW($G13),COLUMN(M13),1,1))),"")</f>
        <v>32423.029599999987</v>
      </c>
      <c r="AK13" s="150">
        <f ca="1">IF(COUNT(INDIRECT(ADDRESS(ROW($G13),COLUMN(N13)-$F13+1,1,1)):INDIRECT(ADDRESS(ROW($G13),COLUMN(N13),1,1)))=$F13,SUMPRODUCT(INDIRECT(ADDRESS(ROW($G13),6-$F13,1,1)):INDIRECT(ADDRESS(ROW($G13),5,1,1)),INDIRECT(ADDRESS(ROW($G13),COLUMN(N13)-$F13+1,1,1)):INDIRECT(ADDRESS(ROW($G13),COLUMN(N13),1,1))),"")</f>
        <v>31025.898199999996</v>
      </c>
      <c r="AL13" s="150">
        <f ca="1">IF(COUNT(INDIRECT(ADDRESS(ROW($G13),COLUMN(O13)-$F13+1,1,1)):INDIRECT(ADDRESS(ROW($G13),COLUMN(O13),1,1)))=$F13,SUMPRODUCT(INDIRECT(ADDRESS(ROW($G13),6-$F13,1,1)):INDIRECT(ADDRESS(ROW($G13),5,1,1)),INDIRECT(ADDRESS(ROW($G13),COLUMN(O13)-$F13+1,1,1)):INDIRECT(ADDRESS(ROW($G13),COLUMN(O13),1,1))),"")</f>
        <v>34597.54595</v>
      </c>
      <c r="AM13" s="150">
        <f ca="1">IF(COUNT(INDIRECT(ADDRESS(ROW($G13),COLUMN(P13)-$F13+1,1,1)):INDIRECT(ADDRESS(ROW($G13),COLUMN(P13),1,1)))=$F13,SUMPRODUCT(INDIRECT(ADDRESS(ROW($G13),6-$F13,1,1)):INDIRECT(ADDRESS(ROW($G13),5,1,1)),INDIRECT(ADDRESS(ROW($G13),COLUMN(P13)-$F13+1,1,1)):INDIRECT(ADDRESS(ROW($G13),COLUMN(P13),1,1))),"")</f>
        <v>31229.837650000001</v>
      </c>
      <c r="AN13" s="150">
        <f ca="1">IF(COUNT(INDIRECT(ADDRESS(ROW($G13),COLUMN(Q13)-$F13+1,1,1)):INDIRECT(ADDRESS(ROW($G13),COLUMN(Q13),1,1)))=$F13,SUMPRODUCT(INDIRECT(ADDRESS(ROW($G13),6-$F13,1,1)):INDIRECT(ADDRESS(ROW($G13),5,1,1)),INDIRECT(ADDRESS(ROW($G13),COLUMN(Q13)-$F13+1,1,1)):INDIRECT(ADDRESS(ROW($G13),COLUMN(Q13),1,1))),"")</f>
        <v>35853.042550000006</v>
      </c>
      <c r="AO13" s="150">
        <f ca="1">IF(COUNT(INDIRECT(ADDRESS(ROW($G13),COLUMN(R13)-$F13+1,1,1)):INDIRECT(ADDRESS(ROW($G13),COLUMN(R13),1,1)))=$F13,SUMPRODUCT(INDIRECT(ADDRESS(ROW($G13),6-$F13,1,1)):INDIRECT(ADDRESS(ROW($G13),5,1,1)),INDIRECT(ADDRESS(ROW($G13),COLUMN(R13)-$F13+1,1,1)):INDIRECT(ADDRESS(ROW($G13),COLUMN(R13),1,1))),"")</f>
        <v>36355.339849999997</v>
      </c>
      <c r="AP13" s="150">
        <f ca="1">IF(COUNT(INDIRECT(ADDRESS(ROW($G13),COLUMN(S13)-$F13+1,1,1)):INDIRECT(ADDRESS(ROW($G13),COLUMN(S13),1,1)))=$F13,SUMPRODUCT(INDIRECT(ADDRESS(ROW($G13),6-$F13,1,1)):INDIRECT(ADDRESS(ROW($G13),5,1,1)),INDIRECT(ADDRESS(ROW($G13),COLUMN(S13)-$F13+1,1,1)):INDIRECT(ADDRESS(ROW($G13),COLUMN(S13),1,1))),"")</f>
        <v>38986.145649999991</v>
      </c>
      <c r="AQ13" s="150">
        <f ca="1">IF(COUNT(INDIRECT(ADDRESS(ROW($G13),COLUMN(T13)-$F13+1,1,1)):INDIRECT(ADDRESS(ROW($G13),COLUMN(T13),1,1)))=$F13,SUMPRODUCT(INDIRECT(ADDRESS(ROW($G13),6-$F13,1,1)):INDIRECT(ADDRESS(ROW($G13),5,1,1)),INDIRECT(ADDRESS(ROW($G13),COLUMN(T13)-$F13+1,1,1)):INDIRECT(ADDRESS(ROW($G13),COLUMN(T13),1,1))),"")</f>
        <v>35354.865949999985</v>
      </c>
      <c r="AR13" s="150">
        <f ca="1">IF(COUNT(INDIRECT(ADDRESS(ROW($G13),COLUMN(U13)-$F13+1,1,1)):INDIRECT(ADDRESS(ROW($G13),COLUMN(U13),1,1)))=$F13,SUMPRODUCT(INDIRECT(ADDRESS(ROW($G13),6-$F13,1,1)):INDIRECT(ADDRESS(ROW($G13),5,1,1)),INDIRECT(ADDRESS(ROW($G13),COLUMN(U13)-$F13+1,1,1)):INDIRECT(ADDRESS(ROW($G13),COLUMN(U13),1,1))),"")</f>
        <v>33492.071549999993</v>
      </c>
      <c r="AS13" s="150">
        <f ca="1">IF(COUNT(INDIRECT(ADDRESS(ROW($G13),COLUMN(V13)-$F13+1,1,1)):INDIRECT(ADDRESS(ROW($G13),COLUMN(V13),1,1)))=$F13,SUMPRODUCT(INDIRECT(ADDRESS(ROW($G13),6-$F13,1,1)):INDIRECT(ADDRESS(ROW($G13),5,1,1)),INDIRECT(ADDRESS(ROW($G13),COLUMN(V13)-$F13+1,1,1)):INDIRECT(ADDRESS(ROW($G13),COLUMN(V13),1,1))),"")</f>
        <v>39625.301099999997</v>
      </c>
      <c r="AT13" s="150">
        <f ca="1">IF(COUNT(INDIRECT(ADDRESS(ROW($G13),COLUMN(W13)-$F13+1,1,1)):INDIRECT(ADDRESS(ROW($G13),COLUMN(W13),1,1)))=$F13,SUMPRODUCT(INDIRECT(ADDRESS(ROW($G13),6-$F13,1,1)):INDIRECT(ADDRESS(ROW($G13),5,1,1)),INDIRECT(ADDRESS(ROW($G13),COLUMN(W13)-$F13+1,1,1)):INDIRECT(ADDRESS(ROW($G13),COLUMN(W13),1,1))),"")</f>
        <v>40509.35745000001</v>
      </c>
      <c r="AU13" s="150">
        <f ca="1">IF(COUNT(INDIRECT(ADDRESS(ROW($G13),COLUMN(X13)-$F13+1,1,1)):INDIRECT(ADDRESS(ROW($G13),COLUMN(X13),1,1)))=$F13,SUMPRODUCT(INDIRECT(ADDRESS(ROW($G13),6-$F13,1,1)):INDIRECT(ADDRESS(ROW($G13),5,1,1)),INDIRECT(ADDRESS(ROW($G13),COLUMN(X13)-$F13+1,1,1)):INDIRECT(ADDRESS(ROW($G13),COLUMN(X13),1,1))),"")</f>
        <v>36817.065450000016</v>
      </c>
      <c r="AV13" s="150">
        <f ca="1">IF(COUNT(INDIRECT(ADDRESS(ROW($G13),COLUMN(Y13)-$F13+1,1,1)):INDIRECT(ADDRESS(ROW($G13),COLUMN(Y13),1,1)))=$F13,SUMPRODUCT(INDIRECT(ADDRESS(ROW($G13),6-$F13,1,1)):INDIRECT(ADDRESS(ROW($G13),5,1,1)),INDIRECT(ADDRESS(ROW($G13),COLUMN(Y13)-$F13+1,1,1)):INDIRECT(ADDRESS(ROW($G13),COLUMN(Y13),1,1))),"")</f>
        <v>33603.798150000017</v>
      </c>
      <c r="AW13" s="150">
        <f ca="1">IF(COUNT(INDIRECT(ADDRESS(ROW($G13),COLUMN(Z13)-$F13+1,1,1)):INDIRECT(ADDRESS(ROW($G13),COLUMN(Z13),1,1)))=$F13,SUMPRODUCT(INDIRECT(ADDRESS(ROW($G13),6-$F13,1,1)):INDIRECT(ADDRESS(ROW($G13),5,1,1)),INDIRECT(ADDRESS(ROW($G13),COLUMN(Z13)-$F13+1,1,1)):INDIRECT(ADDRESS(ROW($G13),COLUMN(Z13),1,1))),"")</f>
        <v>29844.660850000007</v>
      </c>
      <c r="AX13" s="150">
        <f ca="1">IF(COUNT(INDIRECT(ADDRESS(ROW($G13),COLUMN(AA13)-$F13+1,1,1)):INDIRECT(ADDRESS(ROW($G13),COLUMN(AA13),1,1)))=$F13,SUMPRODUCT(INDIRECT(ADDRESS(ROW($G13),6-$F13,1,1)):INDIRECT(ADDRESS(ROW($G13),5,1,1)),INDIRECT(ADDRESS(ROW($G13),COLUMN(AA13)-$F13+1,1,1)):INDIRECT(ADDRESS(ROW($G13),COLUMN(AA13),1,1))),"")</f>
        <v>32050.775850000013</v>
      </c>
      <c r="AY13" s="150">
        <f ca="1">IF(COUNT(INDIRECT(ADDRESS(ROW($G13),COLUMN(AB13)-$F13+1,1,1)):INDIRECT(ADDRESS(ROW($G13),COLUMN(AB13),1,1)))=$F13,SUMPRODUCT(INDIRECT(ADDRESS(ROW($G13),6-$F13,1,1)):INDIRECT(ADDRESS(ROW($G13),5,1,1)),INDIRECT(ADDRESS(ROW($G13),COLUMN(AB13)-$F13+1,1,1)):INDIRECT(ADDRESS(ROW($G13),COLUMN(AB13),1,1))),"")</f>
        <v>35775.046450000016</v>
      </c>
      <c r="AZ13" s="150">
        <f ca="1">IF(COUNT(INDIRECT(ADDRESS(ROW($G13),COLUMN(AC13)-$F13+1,1,1)):INDIRECT(ADDRESS(ROW($G13),COLUMN(AC13),1,1)))=$F13,SUMPRODUCT(INDIRECT(ADDRESS(ROW($G13),6-$F13,1,1)):INDIRECT(ADDRESS(ROW($G13),5,1,1)),INDIRECT(ADDRESS(ROW($G13),COLUMN(AC13)-$F13+1,1,1)):INDIRECT(ADDRESS(ROW($G13),COLUMN(AC13),1,1))),"")</f>
        <v>33967.90605000002</v>
      </c>
      <c r="BA13" s="148">
        <f ca="1">IF(COUNT(INDIRECT(ADDRESS(ROW($G13),COLUMN(AD13)-$F13+1,1,1)):INDIRECT(ADDRESS(ROW($G13),COLUMN(AD13),1,1)))=$F13,SUMPRODUCT(INDIRECT(ADDRESS(ROW($G13),6-$F13,1,1)):INDIRECT(ADDRESS(ROW($G13),5,1,1)),INDIRECT(ADDRESS(ROW($G13),COLUMN(AD13)-$F13+1,1,1)):INDIRECT(ADDRESS(ROW($G13),COLUMN(AD13),1,1))),"")</f>
        <v>37469.372100000015</v>
      </c>
      <c r="BB13" s="149">
        <f t="shared" ca="1" si="1"/>
        <v>37469.372100000015</v>
      </c>
      <c r="BC13" s="148">
        <f t="shared" ca="1" si="1"/>
        <v>37469.372100000015</v>
      </c>
      <c r="BD13" s="45" t="str">
        <f t="shared" si="2"/>
        <v/>
      </c>
      <c r="BE13" s="45" t="str">
        <f t="shared" si="2"/>
        <v/>
      </c>
      <c r="BF13" s="45" t="str">
        <f t="shared" si="2"/>
        <v/>
      </c>
      <c r="BG13" s="45" t="str">
        <f t="shared" ca="1" si="2"/>
        <v/>
      </c>
      <c r="BH13" s="45" t="str">
        <f t="shared" si="2"/>
        <v/>
      </c>
      <c r="BI13" s="45">
        <f t="shared" ca="1" si="2"/>
        <v>13101153.785062419</v>
      </c>
      <c r="BJ13" s="45">
        <f t="shared" ca="1" si="2"/>
        <v>85856176.364976957</v>
      </c>
      <c r="BK13" s="45">
        <f t="shared" ca="1" si="2"/>
        <v>69209320.745874628</v>
      </c>
      <c r="BL13" s="45">
        <f t="shared" ca="1" si="2"/>
        <v>127928164.6614625</v>
      </c>
      <c r="BM13" s="45">
        <f t="shared" ca="1" si="2"/>
        <v>1740793.7983330139</v>
      </c>
      <c r="BN13" s="45">
        <f t="shared" ca="1" si="2"/>
        <v>27900486.916908324</v>
      </c>
      <c r="BO13" s="45">
        <f t="shared" ca="1" si="2"/>
        <v>60321840.921096742</v>
      </c>
      <c r="BP13" s="45">
        <f t="shared" ca="1" si="2"/>
        <v>44609975.396992624</v>
      </c>
      <c r="BQ13" s="45">
        <f t="shared" ca="1" si="2"/>
        <v>263706921.90817517</v>
      </c>
      <c r="BR13" s="45">
        <f t="shared" ca="1" si="2"/>
        <v>2555198.7333012987</v>
      </c>
      <c r="BS13" s="45">
        <f t="shared" ca="1" si="2"/>
        <v>61693931.353397265</v>
      </c>
      <c r="BT13" s="45">
        <f t="shared" ca="1" si="3"/>
        <v>68516699.155094206</v>
      </c>
      <c r="BU13" s="45">
        <f t="shared" ca="1" si="3"/>
        <v>139562826.0403429</v>
      </c>
      <c r="BV13" s="45">
        <f t="shared" ca="1" si="3"/>
        <v>56121870.298645049</v>
      </c>
      <c r="BW13" s="45">
        <f t="shared" ca="1" si="3"/>
        <v>111976039.36269106</v>
      </c>
      <c r="BX13" s="45">
        <f t="shared" ca="1" si="3"/>
        <v>16680342.076390462</v>
      </c>
      <c r="BY13" s="45">
        <f t="shared" ca="1" si="3"/>
        <v>83355346.99423334</v>
      </c>
      <c r="BZ13" s="92">
        <f t="shared" ca="1" si="4"/>
        <v>8522.7622162583557</v>
      </c>
      <c r="CA13" s="47">
        <f t="shared" ca="1" si="5"/>
        <v>0.19775390074264668</v>
      </c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93"/>
      <c r="CY13" s="93"/>
      <c r="CZ13" s="93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25" t="str">
        <f t="shared" si="6"/>
        <v>weighted average1</v>
      </c>
    </row>
    <row r="14" spans="1:177">
      <c r="A14" s="122"/>
      <c r="B14" s="123"/>
      <c r="C14" s="123">
        <v>0.2</v>
      </c>
      <c r="D14" s="123">
        <v>0.3</v>
      </c>
      <c r="E14" s="123">
        <v>0.5</v>
      </c>
      <c r="F14" s="124">
        <f t="shared" si="7"/>
        <v>3</v>
      </c>
      <c r="G14" s="39" t="s">
        <v>41</v>
      </c>
      <c r="H14" s="40">
        <v>2</v>
      </c>
      <c r="I14" s="41">
        <v>2034.829</v>
      </c>
      <c r="J14" s="41">
        <v>3926.1889999999994</v>
      </c>
      <c r="K14" s="41">
        <v>3165.9719999999993</v>
      </c>
      <c r="L14" s="41">
        <v>2405.7349999999997</v>
      </c>
      <c r="M14" s="41">
        <v>4985.2890000000025</v>
      </c>
      <c r="N14" s="41">
        <v>3527.0360000000028</v>
      </c>
      <c r="O14" s="41">
        <v>5465.6859999999933</v>
      </c>
      <c r="P14" s="41">
        <v>3315.097000000002</v>
      </c>
      <c r="Q14" s="41">
        <v>5477.0960000000023</v>
      </c>
      <c r="R14" s="41">
        <v>4799.9790000000003</v>
      </c>
      <c r="S14" s="41">
        <v>6470.7690000000048</v>
      </c>
      <c r="T14" s="41">
        <v>5351.2719999999999</v>
      </c>
      <c r="U14" s="41">
        <v>5938.1189999999997</v>
      </c>
      <c r="V14" s="41">
        <v>4660.0050000000001</v>
      </c>
      <c r="W14" s="41">
        <v>5788.3040000000074</v>
      </c>
      <c r="X14" s="41">
        <v>5788.3040000000074</v>
      </c>
      <c r="Y14" s="41">
        <v>5652.8189999999959</v>
      </c>
      <c r="Z14" s="41">
        <v>4704.0000000000045</v>
      </c>
      <c r="AA14" s="41">
        <v>4291.5800000000008</v>
      </c>
      <c r="AB14" s="41">
        <v>5788.3040000000074</v>
      </c>
      <c r="AC14" s="41">
        <v>5711.5479999999989</v>
      </c>
      <c r="AD14" s="41">
        <v>6232.6779999999999</v>
      </c>
      <c r="AE14" s="150"/>
      <c r="AF14" s="150"/>
      <c r="AG14" s="150"/>
      <c r="AH14" s="150"/>
      <c r="AI14" s="150"/>
      <c r="AJ14" s="150">
        <f ca="1">IF(COUNT(INDIRECT(ADDRESS(ROW($G14),COLUMN(M14)-$F14+1,1,1)):INDIRECT(ADDRESS(ROW($G14),COLUMN(M14),1,1)))=$F14,SUMPRODUCT(INDIRECT(ADDRESS(ROW($G14),6-$F14,1,1)):INDIRECT(ADDRESS(ROW($G14),5,1,1)),INDIRECT(ADDRESS(ROW($G14),COLUMN(M14)-$F14+1,1,1)):INDIRECT(ADDRESS(ROW($G14),COLUMN(M14),1,1))),"")</f>
        <v>3847.559400000001</v>
      </c>
      <c r="AK14" s="150">
        <f ca="1">IF(COUNT(INDIRECT(ADDRESS(ROW($G14),COLUMN(N14)-$F14+1,1,1)):INDIRECT(ADDRESS(ROW($G14),COLUMN(N14),1,1)))=$F14,SUMPRODUCT(INDIRECT(ADDRESS(ROW($G14),6-$F14,1,1)):INDIRECT(ADDRESS(ROW($G14),5,1,1)),INDIRECT(ADDRESS(ROW($G14),COLUMN(N14)-$F14+1,1,1)):INDIRECT(ADDRESS(ROW($G14),COLUMN(N14),1,1))),"")</f>
        <v>3740.2517000000021</v>
      </c>
      <c r="AL14" s="150">
        <f ca="1">IF(COUNT(INDIRECT(ADDRESS(ROW($G14),COLUMN(O14)-$F14+1,1,1)):INDIRECT(ADDRESS(ROW($G14),COLUMN(O14),1,1)))=$F14,SUMPRODUCT(INDIRECT(ADDRESS(ROW($G14),6-$F14,1,1)):INDIRECT(ADDRESS(ROW($G14),5,1,1)),INDIRECT(ADDRESS(ROW($G14),COLUMN(O14)-$F14+1,1,1)):INDIRECT(ADDRESS(ROW($G14),COLUMN(O14),1,1))),"")</f>
        <v>4788.011599999998</v>
      </c>
      <c r="AM14" s="150">
        <f ca="1">IF(COUNT(INDIRECT(ADDRESS(ROW($G14),COLUMN(P14)-$F14+1,1,1)):INDIRECT(ADDRESS(ROW($G14),COLUMN(P14),1,1)))=$F14,SUMPRODUCT(INDIRECT(ADDRESS(ROW($G14),6-$F14,1,1)):INDIRECT(ADDRESS(ROW($G14),5,1,1)),INDIRECT(ADDRESS(ROW($G14),COLUMN(P14)-$F14+1,1,1)):INDIRECT(ADDRESS(ROW($G14),COLUMN(P14),1,1))),"")</f>
        <v>4002.6614999999993</v>
      </c>
      <c r="AN14" s="150">
        <f ca="1">IF(COUNT(INDIRECT(ADDRESS(ROW($G14),COLUMN(Q14)-$F14+1,1,1)):INDIRECT(ADDRESS(ROW($G14),COLUMN(Q14),1,1)))=$F14,SUMPRODUCT(INDIRECT(ADDRESS(ROW($G14),6-$F14,1,1)):INDIRECT(ADDRESS(ROW($G14),5,1,1)),INDIRECT(ADDRESS(ROW($G14),COLUMN(Q14)-$F14+1,1,1)):INDIRECT(ADDRESS(ROW($G14),COLUMN(Q14),1,1))),"")</f>
        <v>4826.2143000000005</v>
      </c>
      <c r="AO14" s="150">
        <f ca="1">IF(COUNT(INDIRECT(ADDRESS(ROW($G14),COLUMN(R14)-$F14+1,1,1)):INDIRECT(ADDRESS(ROW($G14),COLUMN(R14),1,1)))=$F14,SUMPRODUCT(INDIRECT(ADDRESS(ROW($G14),6-$F14,1,1)):INDIRECT(ADDRESS(ROW($G14),5,1,1)),INDIRECT(ADDRESS(ROW($G14),COLUMN(R14)-$F14+1,1,1)):INDIRECT(ADDRESS(ROW($G14),COLUMN(R14),1,1))),"")</f>
        <v>4706.1377000000011</v>
      </c>
      <c r="AP14" s="150">
        <f ca="1">IF(COUNT(INDIRECT(ADDRESS(ROW($G14),COLUMN(S14)-$F14+1,1,1)):INDIRECT(ADDRESS(ROW($G14),COLUMN(S14),1,1)))=$F14,SUMPRODUCT(INDIRECT(ADDRESS(ROW($G14),6-$F14,1,1)):INDIRECT(ADDRESS(ROW($G14),5,1,1)),INDIRECT(ADDRESS(ROW($G14),COLUMN(S14)-$F14+1,1,1)):INDIRECT(ADDRESS(ROW($G14),COLUMN(S14),1,1))),"")</f>
        <v>5770.7974000000031</v>
      </c>
      <c r="AQ14" s="150">
        <f ca="1">IF(COUNT(INDIRECT(ADDRESS(ROW($G14),COLUMN(T14)-$F14+1,1,1)):INDIRECT(ADDRESS(ROW($G14),COLUMN(T14),1,1)))=$F14,SUMPRODUCT(INDIRECT(ADDRESS(ROW($G14),6-$F14,1,1)):INDIRECT(ADDRESS(ROW($G14),5,1,1)),INDIRECT(ADDRESS(ROW($G14),COLUMN(T14)-$F14+1,1,1)):INDIRECT(ADDRESS(ROW($G14),COLUMN(T14),1,1))),"")</f>
        <v>5576.8625000000011</v>
      </c>
      <c r="AR14" s="150">
        <f ca="1">IF(COUNT(INDIRECT(ADDRESS(ROW($G14),COLUMN(U14)-$F14+1,1,1)):INDIRECT(ADDRESS(ROW($G14),COLUMN(U14),1,1)))=$F14,SUMPRODUCT(INDIRECT(ADDRESS(ROW($G14),6-$F14,1,1)):INDIRECT(ADDRESS(ROW($G14),5,1,1)),INDIRECT(ADDRESS(ROW($G14),COLUMN(U14)-$F14+1,1,1)):INDIRECT(ADDRESS(ROW($G14),COLUMN(U14),1,1))),"")</f>
        <v>5868.5949000000001</v>
      </c>
      <c r="AS14" s="150">
        <f ca="1">IF(COUNT(INDIRECT(ADDRESS(ROW($G14),COLUMN(V14)-$F14+1,1,1)):INDIRECT(ADDRESS(ROW($G14),COLUMN(V14),1,1)))=$F14,SUMPRODUCT(INDIRECT(ADDRESS(ROW($G14),6-$F14,1,1)):INDIRECT(ADDRESS(ROW($G14),5,1,1)),INDIRECT(ADDRESS(ROW($G14),COLUMN(V14)-$F14+1,1,1)):INDIRECT(ADDRESS(ROW($G14),COLUMN(V14),1,1))),"")</f>
        <v>5181.6926000000003</v>
      </c>
      <c r="AT14" s="150">
        <f ca="1">IF(COUNT(INDIRECT(ADDRESS(ROW($G14),COLUMN(W14)-$F14+1,1,1)):INDIRECT(ADDRESS(ROW($G14),COLUMN(W14),1,1)))=$F14,SUMPRODUCT(INDIRECT(ADDRESS(ROW($G14),6-$F14,1,1)):INDIRECT(ADDRESS(ROW($G14),5,1,1)),INDIRECT(ADDRESS(ROW($G14),COLUMN(W14)-$F14+1,1,1)):INDIRECT(ADDRESS(ROW($G14),COLUMN(W14),1,1))),"")</f>
        <v>5479.7773000000034</v>
      </c>
      <c r="AU14" s="150">
        <f ca="1">IF(COUNT(INDIRECT(ADDRESS(ROW($G14),COLUMN(X14)-$F14+1,1,1)):INDIRECT(ADDRESS(ROW($G14),COLUMN(X14),1,1)))=$F14,SUMPRODUCT(INDIRECT(ADDRESS(ROW($G14),6-$F14,1,1)):INDIRECT(ADDRESS(ROW($G14),5,1,1)),INDIRECT(ADDRESS(ROW($G14),COLUMN(X14)-$F14+1,1,1)):INDIRECT(ADDRESS(ROW($G14),COLUMN(X14),1,1))),"")</f>
        <v>5562.6442000000061</v>
      </c>
      <c r="AV14" s="150">
        <f ca="1">IF(COUNT(INDIRECT(ADDRESS(ROW($G14),COLUMN(Y14)-$F14+1,1,1)):INDIRECT(ADDRESS(ROW($G14),COLUMN(Y14),1,1)))=$F14,SUMPRODUCT(INDIRECT(ADDRESS(ROW($G14),6-$F14,1,1)):INDIRECT(ADDRESS(ROW($G14),5,1,1)),INDIRECT(ADDRESS(ROW($G14),COLUMN(Y14)-$F14+1,1,1)):INDIRECT(ADDRESS(ROW($G14),COLUMN(Y14),1,1))),"")</f>
        <v>5720.5615000000016</v>
      </c>
      <c r="AW14" s="150">
        <f ca="1">IF(COUNT(INDIRECT(ADDRESS(ROW($G14),COLUMN(Z14)-$F14+1,1,1)):INDIRECT(ADDRESS(ROW($G14),COLUMN(Z14),1,1)))=$F14,SUMPRODUCT(INDIRECT(ADDRESS(ROW($G14),6-$F14,1,1)):INDIRECT(ADDRESS(ROW($G14),5,1,1)),INDIRECT(ADDRESS(ROW($G14),COLUMN(Z14)-$F14+1,1,1)):INDIRECT(ADDRESS(ROW($G14),COLUMN(Z14),1,1))),"")</f>
        <v>5205.5065000000031</v>
      </c>
      <c r="AX14" s="150">
        <f ca="1">IF(COUNT(INDIRECT(ADDRESS(ROW($G14),COLUMN(AA14)-$F14+1,1,1)):INDIRECT(ADDRESS(ROW($G14),COLUMN(AA14),1,1)))=$F14,SUMPRODUCT(INDIRECT(ADDRESS(ROW($G14),6-$F14,1,1)):INDIRECT(ADDRESS(ROW($G14),5,1,1)),INDIRECT(ADDRESS(ROW($G14),COLUMN(AA14)-$F14+1,1,1)):INDIRECT(ADDRESS(ROW($G14),COLUMN(AA14),1,1))),"")</f>
        <v>4687.5538000000015</v>
      </c>
      <c r="AY14" s="150">
        <f ca="1">IF(COUNT(INDIRECT(ADDRESS(ROW($G14),COLUMN(AB14)-$F14+1,1,1)):INDIRECT(ADDRESS(ROW($G14),COLUMN(AB14),1,1)))=$F14,SUMPRODUCT(INDIRECT(ADDRESS(ROW($G14),6-$F14,1,1)):INDIRECT(ADDRESS(ROW($G14),5,1,1)),INDIRECT(ADDRESS(ROW($G14),COLUMN(AB14)-$F14+1,1,1)):INDIRECT(ADDRESS(ROW($G14),COLUMN(AB14),1,1))),"")</f>
        <v>5122.4260000000049</v>
      </c>
      <c r="AZ14" s="150">
        <f ca="1">IF(COUNT(INDIRECT(ADDRESS(ROW($G14),COLUMN(AC14)-$F14+1,1,1)):INDIRECT(ADDRESS(ROW($G14),COLUMN(AC14),1,1)))=$F14,SUMPRODUCT(INDIRECT(ADDRESS(ROW($G14),6-$F14,1,1)):INDIRECT(ADDRESS(ROW($G14),5,1,1)),INDIRECT(ADDRESS(ROW($G14),COLUMN(AC14)-$F14+1,1,1)):INDIRECT(ADDRESS(ROW($G14),COLUMN(AC14),1,1))),"")</f>
        <v>5450.5812000000024</v>
      </c>
      <c r="BA14" s="148">
        <f ca="1">IF(COUNT(INDIRECT(ADDRESS(ROW($G14),COLUMN(AD14)-$F14+1,1,1)):INDIRECT(ADDRESS(ROW($G14),COLUMN(AD14),1,1)))=$F14,SUMPRODUCT(INDIRECT(ADDRESS(ROW($G14),6-$F14,1,1)):INDIRECT(ADDRESS(ROW($G14),5,1,1)),INDIRECT(ADDRESS(ROW($G14),COLUMN(AD14)-$F14+1,1,1)):INDIRECT(ADDRESS(ROW($G14),COLUMN(AD14),1,1))),"")</f>
        <v>5987.4642000000013</v>
      </c>
      <c r="BB14" s="149">
        <f t="shared" ca="1" si="1"/>
        <v>5987.4642000000013</v>
      </c>
      <c r="BC14" s="148">
        <f t="shared" ca="1" si="1"/>
        <v>5987.4642000000013</v>
      </c>
      <c r="BD14" s="45" t="str">
        <f t="shared" si="2"/>
        <v/>
      </c>
      <c r="BE14" s="45" t="str">
        <f t="shared" si="2"/>
        <v/>
      </c>
      <c r="BF14" s="45" t="str">
        <f t="shared" si="2"/>
        <v/>
      </c>
      <c r="BG14" s="45" t="str">
        <f t="shared" si="2"/>
        <v/>
      </c>
      <c r="BH14" s="45" t="str">
        <f t="shared" si="2"/>
        <v/>
      </c>
      <c r="BI14" s="45">
        <f t="shared" ca="1" si="2"/>
        <v>102735.24994755886</v>
      </c>
      <c r="BJ14" s="45">
        <f t="shared" ca="1" si="2"/>
        <v>2977123.5236164597</v>
      </c>
      <c r="BK14" s="45">
        <f t="shared" ca="1" si="2"/>
        <v>2169477.4188931482</v>
      </c>
      <c r="BL14" s="45">
        <f t="shared" ca="1" si="2"/>
        <v>2173957.0947902589</v>
      </c>
      <c r="BM14" s="45">
        <f t="shared" ca="1" si="2"/>
        <v>688.29096609001465</v>
      </c>
      <c r="BN14" s="45">
        <f t="shared" ca="1" si="2"/>
        <v>3113923.6249397029</v>
      </c>
      <c r="BO14" s="45">
        <f t="shared" ca="1" si="2"/>
        <v>176001.56124516265</v>
      </c>
      <c r="BP14" s="45">
        <f t="shared" ca="1" si="2"/>
        <v>130506.25879224899</v>
      </c>
      <c r="BQ14" s="45">
        <f t="shared" ca="1" si="2"/>
        <v>1460689.5463820098</v>
      </c>
      <c r="BR14" s="45">
        <f t="shared" ca="1" si="2"/>
        <v>367977.39060996857</v>
      </c>
      <c r="BS14" s="45">
        <f t="shared" ca="1" si="2"/>
        <v>95188.72461289246</v>
      </c>
      <c r="BT14" s="45">
        <f t="shared" ca="1" si="3"/>
        <v>8131.4945550381553</v>
      </c>
      <c r="BU14" s="45">
        <f t="shared" ca="1" si="3"/>
        <v>1033397.283282244</v>
      </c>
      <c r="BV14" s="45">
        <f t="shared" ca="1" si="3"/>
        <v>835261.64740225417</v>
      </c>
      <c r="BW14" s="45">
        <f t="shared" ca="1" si="3"/>
        <v>1211651.002800053</v>
      </c>
      <c r="BX14" s="45">
        <f t="shared" ca="1" si="3"/>
        <v>347064.73088399286</v>
      </c>
      <c r="BY14" s="45">
        <f t="shared" ca="1" si="3"/>
        <v>611675.4045702361</v>
      </c>
      <c r="BZ14" s="92">
        <f t="shared" ca="1" si="4"/>
        <v>994.55725438624836</v>
      </c>
      <c r="CA14" s="47">
        <f t="shared" ca="1" si="5"/>
        <v>0.15957141607287403</v>
      </c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93"/>
      <c r="CY14" s="93"/>
      <c r="CZ14" s="93"/>
      <c r="DA14" s="60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60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25" t="str">
        <f t="shared" si="6"/>
        <v>weighted average2</v>
      </c>
    </row>
    <row r="15" spans="1:177">
      <c r="A15" s="122">
        <v>0.1</v>
      </c>
      <c r="B15" s="123">
        <v>0.1</v>
      </c>
      <c r="C15" s="123">
        <v>0.15</v>
      </c>
      <c r="D15" s="123">
        <v>0.25</v>
      </c>
      <c r="E15" s="123">
        <v>0.4</v>
      </c>
      <c r="F15" s="124">
        <f t="shared" si="7"/>
        <v>5</v>
      </c>
      <c r="G15" s="39" t="s">
        <v>41</v>
      </c>
      <c r="H15" s="40">
        <v>3</v>
      </c>
      <c r="I15" s="41">
        <v>13358.629000000003</v>
      </c>
      <c r="J15" s="41">
        <v>20803.865999999976</v>
      </c>
      <c r="K15" s="41">
        <v>20017.845000000023</v>
      </c>
      <c r="L15" s="41">
        <v>15104.177</v>
      </c>
      <c r="M15" s="41">
        <v>26176.769000000015</v>
      </c>
      <c r="N15" s="41">
        <v>16747.22099999998</v>
      </c>
      <c r="O15" s="41">
        <v>26239.445000000032</v>
      </c>
      <c r="P15" s="41">
        <v>19977.948</v>
      </c>
      <c r="Q15" s="41">
        <v>24363.912000000008</v>
      </c>
      <c r="R15" s="41">
        <v>27562.603000000043</v>
      </c>
      <c r="S15" s="41">
        <v>19304.851999999999</v>
      </c>
      <c r="T15" s="41">
        <v>18896.307999999983</v>
      </c>
      <c r="U15" s="41">
        <v>18222.650000000001</v>
      </c>
      <c r="V15" s="41">
        <v>22709.071000000025</v>
      </c>
      <c r="W15" s="41">
        <v>16042.15199999998</v>
      </c>
      <c r="X15" s="41">
        <v>16228.581999999999</v>
      </c>
      <c r="Y15" s="41">
        <v>16931.791000000016</v>
      </c>
      <c r="Z15" s="41">
        <v>19747.198</v>
      </c>
      <c r="AA15" s="41">
        <v>19613.917000000005</v>
      </c>
      <c r="AB15" s="41">
        <v>23936.453999999991</v>
      </c>
      <c r="AC15" s="41">
        <v>26626.845000000001</v>
      </c>
      <c r="AD15" s="41">
        <v>29996.83699999996</v>
      </c>
      <c r="AE15" s="150"/>
      <c r="AF15" s="150"/>
      <c r="AG15" s="150"/>
      <c r="AH15" s="150"/>
      <c r="AI15" s="150"/>
      <c r="AJ15" s="150">
        <f ca="1">IF(COUNT(INDIRECT(ADDRESS(ROW($G15),COLUMN(M15)-$F15+1,1,1)):INDIRECT(ADDRESS(ROW($G15),COLUMN(M15),1,1)))=$F15,SUMPRODUCT(INDIRECT(ADDRESS(ROW($G15),6-$F15,1,1)):INDIRECT(ADDRESS(ROW($G15),5,1,1)),INDIRECT(ADDRESS(ROW($G15),COLUMN(M15)-$F15+1,1,1)):INDIRECT(ADDRESS(ROW($G15),COLUMN(M15),1,1))),"")</f>
        <v>20665.678100000008</v>
      </c>
      <c r="AK15" s="150">
        <f ca="1">IF(COUNT(INDIRECT(ADDRESS(ROW($G15),COLUMN(N15)-$F15+1,1,1)):INDIRECT(ADDRESS(ROW($G15),COLUMN(N15),1,1)))=$F15,SUMPRODUCT(INDIRECT(ADDRESS(ROW($G15),6-$F15,1,1)):INDIRECT(ADDRESS(ROW($G15),5,1,1)),INDIRECT(ADDRESS(ROW($G15),COLUMN(N15)-$F15+1,1,1)):INDIRECT(ADDRESS(ROW($G15),COLUMN(N15),1,1))),"")</f>
        <v>19590.878299999997</v>
      </c>
      <c r="AL15" s="150">
        <f ca="1">IF(COUNT(INDIRECT(ADDRESS(ROW($G15),COLUMN(O15)-$F15+1,1,1)):INDIRECT(ADDRESS(ROW($G15),COLUMN(O15),1,1)))=$F15,SUMPRODUCT(INDIRECT(ADDRESS(ROW($G15),6-$F15,1,1)):INDIRECT(ADDRESS(ROW($G15),5,1,1)),INDIRECT(ADDRESS(ROW($G15),COLUMN(O15)-$F15+1,1,1)):INDIRECT(ADDRESS(ROW($G15),COLUMN(O15),1,1))),"")</f>
        <v>22121.300800000012</v>
      </c>
      <c r="AM15" s="150">
        <f ca="1">IF(COUNT(INDIRECT(ADDRESS(ROW($G15),COLUMN(P15)-$F15+1,1,1)):INDIRECT(ADDRESS(ROW($G15),COLUMN(P15),1,1)))=$F15,SUMPRODUCT(INDIRECT(ADDRESS(ROW($G15),6-$F15,1,1)):INDIRECT(ADDRESS(ROW($G15),5,1,1)),INDIRECT(ADDRESS(ROW($G15),COLUMN(P15)-$F15+1,1,1)):INDIRECT(ADDRESS(ROW($G15),COLUMN(P15),1,1))),"")</f>
        <v>21191.21820000001</v>
      </c>
      <c r="AN15" s="150">
        <f ca="1">IF(COUNT(INDIRECT(ADDRESS(ROW($G15),COLUMN(Q15)-$F15+1,1,1)):INDIRECT(ADDRESS(ROW($G15),COLUMN(Q15),1,1)))=$F15,SUMPRODUCT(INDIRECT(ADDRESS(ROW($G15),6-$F15,1,1)):INDIRECT(ADDRESS(ROW($G15),5,1,1)),INDIRECT(ADDRESS(ROW($G15),COLUMN(Q15)-$F15+1,1,1)):INDIRECT(ADDRESS(ROW($G15),COLUMN(Q15),1,1))),"")</f>
        <v>22968.36755000001</v>
      </c>
      <c r="AO15" s="150">
        <f ca="1">IF(COUNT(INDIRECT(ADDRESS(ROW($G15),COLUMN(R15)-$F15+1,1,1)):INDIRECT(ADDRESS(ROW($G15),COLUMN(R15),1,1)))=$F15,SUMPRODUCT(INDIRECT(ADDRESS(ROW($G15),6-$F15,1,1)):INDIRECT(ADDRESS(ROW($G15),5,1,1)),INDIRECT(ADDRESS(ROW($G15),COLUMN(R15)-$F15+1,1,1)):INDIRECT(ADDRESS(ROW($G15),COLUMN(R15),1,1))),"")</f>
        <v>24411.378000000022</v>
      </c>
      <c r="AP15" s="150">
        <f ca="1">IF(COUNT(INDIRECT(ADDRESS(ROW($G15),COLUMN(S15)-$F15+1,1,1)):INDIRECT(ADDRESS(ROW($G15),COLUMN(S15),1,1)))=$F15,SUMPRODUCT(INDIRECT(ADDRESS(ROW($G15),6-$F15,1,1)):INDIRECT(ADDRESS(ROW($G15),5,1,1)),INDIRECT(ADDRESS(ROW($G15),COLUMN(S15)-$F15+1,1,1)):INDIRECT(ADDRESS(ROW($G15),COLUMN(S15),1,1))),"")</f>
        <v>22888.917650000014</v>
      </c>
      <c r="AQ15" s="150">
        <f ca="1">IF(COUNT(INDIRECT(ADDRESS(ROW($G15),COLUMN(T15)-$F15+1,1,1)):INDIRECT(ADDRESS(ROW($G15),COLUMN(T15),1,1)))=$F15,SUMPRODUCT(INDIRECT(ADDRESS(ROW($G15),6-$F15,1,1)):INDIRECT(ADDRESS(ROW($G15),5,1,1)),INDIRECT(ADDRESS(ROW($G15),COLUMN(T15)-$F15+1,1,1)):INDIRECT(ADDRESS(ROW($G15),COLUMN(T15),1,1))),"")</f>
        <v>20953.31265</v>
      </c>
      <c r="AR15" s="150">
        <f ca="1">IF(COUNT(INDIRECT(ADDRESS(ROW($G15),COLUMN(U15)-$F15+1,1,1)):INDIRECT(ADDRESS(ROW($G15),COLUMN(U15),1,1)))=$F15,SUMPRODUCT(INDIRECT(ADDRESS(ROW($G15),6-$F15,1,1)):INDIRECT(ADDRESS(ROW($G15),5,1,1)),INDIRECT(ADDRESS(ROW($G15),COLUMN(U15)-$F15+1,1,1)):INDIRECT(ADDRESS(ROW($G15),COLUMN(U15),1,1))),"")</f>
        <v>20101.516300000003</v>
      </c>
      <c r="AS15" s="150">
        <f ca="1">IF(COUNT(INDIRECT(ADDRESS(ROW($G15),COLUMN(V15)-$F15+1,1,1)):INDIRECT(ADDRESS(ROW($G15),COLUMN(V15),1,1)))=$F15,SUMPRODUCT(INDIRECT(ADDRESS(ROW($G15),6-$F15,1,1)):INDIRECT(ADDRESS(ROW($G15),5,1,1)),INDIRECT(ADDRESS(ROW($G15),COLUMN(V15)-$F15+1,1,1)):INDIRECT(ADDRESS(ROW($G15),COLUMN(V15),1,1))),"")</f>
        <v>21160.48260000001</v>
      </c>
      <c r="AT15" s="150">
        <f ca="1">IF(COUNT(INDIRECT(ADDRESS(ROW($G15),COLUMN(W15)-$F15+1,1,1)):INDIRECT(ADDRESS(ROW($G15),COLUMN(W15),1,1)))=$F15,SUMPRODUCT(INDIRECT(ADDRESS(ROW($G15),6-$F15,1,1)):INDIRECT(ADDRESS(ROW($G15),5,1,1)),INDIRECT(ADDRESS(ROW($G15),COLUMN(W15)-$F15+1,1,1)):INDIRECT(ADDRESS(ROW($G15),COLUMN(W15),1,1))),"")</f>
        <v>18647.642049999995</v>
      </c>
      <c r="AU15" s="150">
        <f ca="1">IF(COUNT(INDIRECT(ADDRESS(ROW($G15),COLUMN(X15)-$F15+1,1,1)):INDIRECT(ADDRESS(ROW($G15),COLUMN(X15),1,1)))=$F15,SUMPRODUCT(INDIRECT(ADDRESS(ROW($G15),6-$F15,1,1)):INDIRECT(ADDRESS(ROW($G15),5,1,1)),INDIRECT(ADDRESS(ROW($G15),COLUMN(X15)-$F15+1,1,1)):INDIRECT(ADDRESS(ROW($G15),COLUMN(X15),1,1))),"")</f>
        <v>17620.227249999996</v>
      </c>
      <c r="AV15" s="150">
        <f ca="1">IF(COUNT(INDIRECT(ADDRESS(ROW($G15),COLUMN(Y15)-$F15+1,1,1)):INDIRECT(ADDRESS(ROW($G15),COLUMN(Y15),1,1)))=$F15,SUMPRODUCT(INDIRECT(ADDRESS(ROW($G15),6-$F15,1,1)):INDIRECT(ADDRESS(ROW($G15),5,1,1)),INDIRECT(ADDRESS(ROW($G15),COLUMN(Y15)-$F15+1,1,1)):INDIRECT(ADDRESS(ROW($G15),COLUMN(Y15),1,1))),"")</f>
        <v>17329.356800000009</v>
      </c>
      <c r="AW15" s="150">
        <f ca="1">IF(COUNT(INDIRECT(ADDRESS(ROW($G15),COLUMN(Z15)-$F15+1,1,1)):INDIRECT(ADDRESS(ROW($G15),COLUMN(Z15),1,1)))=$F15,SUMPRODUCT(INDIRECT(ADDRESS(ROW($G15),6-$F15,1,1)):INDIRECT(ADDRESS(ROW($G15),5,1,1)),INDIRECT(ADDRESS(ROW($G15),COLUMN(Z15)-$F15+1,1,1)):INDIRECT(ADDRESS(ROW($G15),COLUMN(Z15),1,1))),"")</f>
        <v>18441.236550000005</v>
      </c>
      <c r="AX15" s="150">
        <f ca="1">IF(COUNT(INDIRECT(ADDRESS(ROW($G15),COLUMN(AA15)-$F15+1,1,1)):INDIRECT(ADDRESS(ROW($G15),COLUMN(AA15),1,1)))=$F15,SUMPRODUCT(INDIRECT(ADDRESS(ROW($G15),6-$F15,1,1)):INDIRECT(ADDRESS(ROW($G15),5,1,1)),INDIRECT(ADDRESS(ROW($G15),COLUMN(AA15)-$F15+1,1,1)):INDIRECT(ADDRESS(ROW($G15),COLUMN(AA15),1,1))),"")</f>
        <v>18549.208350000001</v>
      </c>
      <c r="AY15" s="150">
        <f ca="1">IF(COUNT(INDIRECT(ADDRESS(ROW($G15),COLUMN(AB15)-$F15+1,1,1)):INDIRECT(ADDRESS(ROW($G15),COLUMN(AB15),1,1)))=$F15,SUMPRODUCT(INDIRECT(ADDRESS(ROW($G15),6-$F15,1,1)):INDIRECT(ADDRESS(ROW($G15),5,1,1)),INDIRECT(ADDRESS(ROW($G15),COLUMN(AB15)-$F15+1,1,1)):INDIRECT(ADDRESS(ROW($G15),COLUMN(AB15),1,1))),"")</f>
        <v>20756.17785</v>
      </c>
      <c r="AZ15" s="150">
        <f ca="1">IF(COUNT(INDIRECT(ADDRESS(ROW($G15),COLUMN(AC15)-$F15+1,1,1)):INDIRECT(ADDRESS(ROW($G15),COLUMN(AC15),1,1)))=$F15,SUMPRODUCT(INDIRECT(ADDRESS(ROW($G15),6-$F15,1,1)):INDIRECT(ADDRESS(ROW($G15),5,1,1)),INDIRECT(ADDRESS(ROW($G15),COLUMN(AC15)-$F15+1,1,1)):INDIRECT(ADDRESS(ROW($G15),COLUMN(AC15),1,1))),"")</f>
        <v>23244.837950000001</v>
      </c>
      <c r="BA15" s="148">
        <f ca="1">IF(COUNT(INDIRECT(ADDRESS(ROW($G15),COLUMN(AD15)-$F15+1,1,1)):INDIRECT(ADDRESS(ROW($G15),COLUMN(AD15),1,1)))=$F15,SUMPRODUCT(INDIRECT(ADDRESS(ROW($G15),6-$F15,1,1)):INDIRECT(ADDRESS(ROW($G15),5,1,1)),INDIRECT(ADDRESS(ROW($G15),COLUMN(AD15)-$F15+1,1,1)):INDIRECT(ADDRESS(ROW($G15),COLUMN(AD15),1,1))),"")</f>
        <v>26182.025649999981</v>
      </c>
      <c r="BB15" s="149">
        <f t="shared" ca="1" si="1"/>
        <v>26182.025649999981</v>
      </c>
      <c r="BC15" s="148">
        <f t="shared" ca="1" si="1"/>
        <v>26182.025649999981</v>
      </c>
      <c r="BD15" s="45" t="str">
        <f t="shared" si="2"/>
        <v/>
      </c>
      <c r="BE15" s="45" t="str">
        <f t="shared" si="2"/>
        <v/>
      </c>
      <c r="BF15" s="45" t="str">
        <f t="shared" si="2"/>
        <v/>
      </c>
      <c r="BG15" s="45" t="str">
        <f t="shared" si="2"/>
        <v/>
      </c>
      <c r="BH15" s="45" t="str">
        <f t="shared" si="2"/>
        <v/>
      </c>
      <c r="BI15" s="45">
        <f t="shared" ca="1" si="2"/>
        <v>15354306.044540634</v>
      </c>
      <c r="BJ15" s="45">
        <f t="shared" ca="1" si="2"/>
        <v>44203439.164349362</v>
      </c>
      <c r="BK15" s="45">
        <f t="shared" ca="1" si="2"/>
        <v>4593961.225267889</v>
      </c>
      <c r="BL15" s="45">
        <f t="shared" ca="1" si="2"/>
        <v>10065985.948558424</v>
      </c>
      <c r="BM15" s="45">
        <f t="shared" ca="1" si="2"/>
        <v>21106999.370037004</v>
      </c>
      <c r="BN15" s="45">
        <f t="shared" ca="1" si="2"/>
        <v>26076607.78867624</v>
      </c>
      <c r="BO15" s="45">
        <f t="shared" ca="1" si="2"/>
        <v>15940931.817273373</v>
      </c>
      <c r="BP15" s="45">
        <f t="shared" ca="1" si="2"/>
        <v>7456518.5081050135</v>
      </c>
      <c r="BQ15" s="45">
        <f t="shared" ca="1" si="2"/>
        <v>6799341.513492207</v>
      </c>
      <c r="BR15" s="45">
        <f t="shared" ca="1" si="2"/>
        <v>26197308.130896669</v>
      </c>
      <c r="BS15" s="45">
        <f t="shared" ca="1" si="2"/>
        <v>5851851.5255059851</v>
      </c>
      <c r="BT15" s="45">
        <f t="shared" ca="1" si="3"/>
        <v>473944.47031403583</v>
      </c>
      <c r="BU15" s="45">
        <f t="shared" ca="1" si="3"/>
        <v>5845956.0684174001</v>
      </c>
      <c r="BV15" s="45">
        <f t="shared" ca="1" si="3"/>
        <v>1375179.4378122021</v>
      </c>
      <c r="BW15" s="45">
        <f t="shared" ca="1" si="3"/>
        <v>29022415.693443812</v>
      </c>
      <c r="BX15" s="45">
        <f t="shared" ca="1" si="3"/>
        <v>34464732.786089137</v>
      </c>
      <c r="BY15" s="45">
        <f t="shared" ca="1" si="3"/>
        <v>45589491.171200342</v>
      </c>
      <c r="BZ15" s="92">
        <f t="shared" ca="1" si="4"/>
        <v>4203.7726100140917</v>
      </c>
      <c r="CA15" s="47">
        <f t="shared" ca="1" si="5"/>
        <v>0.14014052915025998</v>
      </c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93"/>
      <c r="CY15" s="93"/>
      <c r="CZ15" s="93"/>
      <c r="DA15" s="60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60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25" t="str">
        <f t="shared" si="6"/>
        <v>weighted average3</v>
      </c>
    </row>
    <row r="16" spans="1:177">
      <c r="A16" s="122">
        <v>0.1</v>
      </c>
      <c r="B16" s="123">
        <v>0.1</v>
      </c>
      <c r="C16" s="123">
        <v>0.15</v>
      </c>
      <c r="D16" s="123">
        <v>0.25</v>
      </c>
      <c r="E16" s="123">
        <v>0.4</v>
      </c>
      <c r="F16" s="124">
        <f t="shared" si="7"/>
        <v>5</v>
      </c>
      <c r="G16" s="39" t="s">
        <v>41</v>
      </c>
      <c r="H16" s="40">
        <v>4</v>
      </c>
      <c r="I16" s="41">
        <v>400.44400000000007</v>
      </c>
      <c r="J16" s="41">
        <v>2589.7540000000013</v>
      </c>
      <c r="K16" s="41">
        <v>1336.3789999999999</v>
      </c>
      <c r="L16" s="41">
        <v>1186.7760000000001</v>
      </c>
      <c r="M16" s="41">
        <v>839.32799999999986</v>
      </c>
      <c r="N16" s="41">
        <v>2024.5600000000004</v>
      </c>
      <c r="O16" s="41">
        <v>1502.1150000000002</v>
      </c>
      <c r="P16" s="41">
        <v>1294.5919999999994</v>
      </c>
      <c r="Q16" s="41">
        <v>1067.4629999999997</v>
      </c>
      <c r="R16" s="41">
        <v>2076.5049999999987</v>
      </c>
      <c r="S16" s="41">
        <v>2051.2060000000006</v>
      </c>
      <c r="T16" s="41">
        <v>1039.9769999999999</v>
      </c>
      <c r="U16" s="41">
        <v>922.57100000000003</v>
      </c>
      <c r="V16" s="41">
        <v>380.83800000000002</v>
      </c>
      <c r="W16" s="41">
        <v>2476.893</v>
      </c>
      <c r="X16" s="41">
        <v>453.2119999999997</v>
      </c>
      <c r="Y16" s="41">
        <v>2092.7499999999995</v>
      </c>
      <c r="Z16" s="41">
        <v>823.12700000000018</v>
      </c>
      <c r="AA16" s="41">
        <v>1106.48</v>
      </c>
      <c r="AB16" s="41">
        <v>864.59699999999987</v>
      </c>
      <c r="AC16" s="41">
        <v>1086.4360000000004</v>
      </c>
      <c r="AD16" s="41">
        <v>1891.8890000000001</v>
      </c>
      <c r="AE16" s="150"/>
      <c r="AF16" s="150"/>
      <c r="AG16" s="150"/>
      <c r="AH16" s="150"/>
      <c r="AI16" s="150"/>
      <c r="AJ16" s="150">
        <f ca="1">IF(COUNT(INDIRECT(ADDRESS(ROW($G16),COLUMN(M16)-$F16+1,1,1)):INDIRECT(ADDRESS(ROW($G16),COLUMN(M16),1,1)))=$F16,SUMPRODUCT(INDIRECT(ADDRESS(ROW($G16),6-$F16,1,1)):INDIRECT(ADDRESS(ROW($G16),5,1,1)),INDIRECT(ADDRESS(ROW($G16),COLUMN(M16)-$F16+1,1,1)):INDIRECT(ADDRESS(ROW($G16),COLUMN(M16),1,1))),"")</f>
        <v>1131.9018500000002</v>
      </c>
      <c r="AK16" s="150">
        <f ca="1">IF(COUNT(INDIRECT(ADDRESS(ROW($G16),COLUMN(N16)-$F16+1,1,1)):INDIRECT(ADDRESS(ROW($G16),COLUMN(N16),1,1)))=$F16,SUMPRODUCT(INDIRECT(ADDRESS(ROW($G16),6-$F16,1,1)):INDIRECT(ADDRESS(ROW($G16),5,1,1)),INDIRECT(ADDRESS(ROW($G16),COLUMN(N16)-$F16+1,1,1)):INDIRECT(ADDRESS(ROW($G16),COLUMN(N16),1,1))),"")</f>
        <v>1590.2857000000004</v>
      </c>
      <c r="AL16" s="150">
        <f ca="1">IF(COUNT(INDIRECT(ADDRESS(ROW($G16),COLUMN(O16)-$F16+1,1,1)):INDIRECT(ADDRESS(ROW($G16),COLUMN(O16),1,1)))=$F16,SUMPRODUCT(INDIRECT(ADDRESS(ROW($G16),6-$F16,1,1)):INDIRECT(ADDRESS(ROW($G16),5,1,1)),INDIRECT(ADDRESS(ROW($G16),COLUMN(O16)-$F16+1,1,1)):INDIRECT(ADDRESS(ROW($G16),COLUMN(O16),1,1))),"")</f>
        <v>1485.2007000000003</v>
      </c>
      <c r="AM16" s="150">
        <f ca="1">IF(COUNT(INDIRECT(ADDRESS(ROW($G16),COLUMN(P16)-$F16+1,1,1)):INDIRECT(ADDRESS(ROW($G16),COLUMN(P16),1,1)))=$F16,SUMPRODUCT(INDIRECT(ADDRESS(ROW($G16),6-$F16,1,1)):INDIRECT(ADDRESS(ROW($G16),5,1,1)),INDIRECT(ADDRESS(ROW($G16),COLUMN(P16)-$F16+1,1,1)):INDIRECT(ADDRESS(ROW($G16),COLUMN(P16),1,1))),"")</f>
        <v>1399.6599499999998</v>
      </c>
      <c r="AN16" s="150">
        <f ca="1">IF(COUNT(INDIRECT(ADDRESS(ROW($G16),COLUMN(Q16)-$F16+1,1,1)):INDIRECT(ADDRESS(ROW($G16),COLUMN(Q16),1,1)))=$F16,SUMPRODUCT(INDIRECT(ADDRESS(ROW($G16),6-$F16,1,1)):INDIRECT(ADDRESS(ROW($G16),5,1,1)),INDIRECT(ADDRESS(ROW($G16),COLUMN(Q16)-$F16+1,1,1)):INDIRECT(ADDRESS(ROW($G16),COLUMN(Q16),1,1))),"")</f>
        <v>1262.3392499999998</v>
      </c>
      <c r="AO16" s="150">
        <f ca="1">IF(COUNT(INDIRECT(ADDRESS(ROW($G16),COLUMN(R16)-$F16+1,1,1)):INDIRECT(ADDRESS(ROW($G16),COLUMN(R16),1,1)))=$F16,SUMPRODUCT(INDIRECT(ADDRESS(ROW($G16),6-$F16,1,1)):INDIRECT(ADDRESS(ROW($G16),5,1,1)),INDIRECT(ADDRESS(ROW($G16),COLUMN(R16)-$F16+1,1,1)):INDIRECT(ADDRESS(ROW($G16),COLUMN(R16),1,1))),"")</f>
        <v>1644.3240499999993</v>
      </c>
      <c r="AP16" s="150">
        <f ca="1">IF(COUNT(INDIRECT(ADDRESS(ROW($G16),COLUMN(S16)-$F16+1,1,1)):INDIRECT(ADDRESS(ROW($G16),COLUMN(S16),1,1)))=$F16,SUMPRODUCT(INDIRECT(ADDRESS(ROW($G16),6-$F16,1,1)):INDIRECT(ADDRESS(ROW($G16),5,1,1)),INDIRECT(ADDRESS(ROW($G16),COLUMN(S16)-$F16+1,1,1)):INDIRECT(ADDRESS(ROW($G16),COLUMN(S16),1,1))),"")</f>
        <v>1779.3987999999999</v>
      </c>
      <c r="AQ16" s="150">
        <f ca="1">IF(COUNT(INDIRECT(ADDRESS(ROW($G16),COLUMN(T16)-$F16+1,1,1)):INDIRECT(ADDRESS(ROW($G16),COLUMN(T16),1,1)))=$F16,SUMPRODUCT(INDIRECT(ADDRESS(ROW($G16),6-$F16,1,1)):INDIRECT(ADDRESS(ROW($G16),5,1,1)),INDIRECT(ADDRESS(ROW($G16),COLUMN(T16)-$F16+1,1,1)):INDIRECT(ADDRESS(ROW($G16),COLUMN(T16),1,1))),"")</f>
        <v>1476.4735499999997</v>
      </c>
      <c r="AR16" s="150">
        <f ca="1">IF(COUNT(INDIRECT(ADDRESS(ROW($G16),COLUMN(U16)-$F16+1,1,1)):INDIRECT(ADDRESS(ROW($G16),COLUMN(U16),1,1)))=$F16,SUMPRODUCT(INDIRECT(ADDRESS(ROW($G16),6-$F16,1,1)):INDIRECT(ADDRESS(ROW($G16),5,1,1)),INDIRECT(ADDRESS(ROW($G16),COLUMN(U16)-$F16+1,1,1)):INDIRECT(ADDRESS(ROW($G16),COLUMN(U16),1,1))),"")</f>
        <v>1251.1003499999999</v>
      </c>
      <c r="AS16" s="150">
        <f ca="1">IF(COUNT(INDIRECT(ADDRESS(ROW($G16),COLUMN(V16)-$F16+1,1,1)):INDIRECT(ADDRESS(ROW($G16),COLUMN(V16),1,1)))=$F16,SUMPRODUCT(INDIRECT(ADDRESS(ROW($G16),6-$F16,1,1)):INDIRECT(ADDRESS(ROW($G16),5,1,1)),INDIRECT(ADDRESS(ROW($G16),COLUMN(V16)-$F16+1,1,1)):INDIRECT(ADDRESS(ROW($G16),COLUMN(V16),1,1))),"")</f>
        <v>951.74559999999985</v>
      </c>
      <c r="AT16" s="150">
        <f ca="1">IF(COUNT(INDIRECT(ADDRESS(ROW($G16),COLUMN(W16)-$F16+1,1,1)):INDIRECT(ADDRESS(ROW($G16),COLUMN(W16),1,1)))=$F16,SUMPRODUCT(INDIRECT(ADDRESS(ROW($G16),6-$F16,1,1)):INDIRECT(ADDRESS(ROW($G16),5,1,1)),INDIRECT(ADDRESS(ROW($G16),COLUMN(W16)-$F16+1,1,1)):INDIRECT(ADDRESS(ROW($G16),COLUMN(W16),1,1))),"")</f>
        <v>1533.4706500000002</v>
      </c>
      <c r="AU16" s="150">
        <f ca="1">IF(COUNT(INDIRECT(ADDRESS(ROW($G16),COLUMN(X16)-$F16+1,1,1)):INDIRECT(ADDRESS(ROW($G16),COLUMN(X16),1,1)))=$F16,SUMPRODUCT(INDIRECT(ADDRESS(ROW($G16),6-$F16,1,1)):INDIRECT(ADDRESS(ROW($G16),5,1,1)),INDIRECT(ADDRESS(ROW($G16),COLUMN(X16)-$F16+1,1,1)):INDIRECT(ADDRESS(ROW($G16),COLUMN(X16),1,1))),"")</f>
        <v>1053.8885499999999</v>
      </c>
      <c r="AV16" s="150">
        <f ca="1">IF(COUNT(INDIRECT(ADDRESS(ROW($G16),COLUMN(Y16)-$F16+1,1,1)):INDIRECT(ADDRESS(ROW($G16),COLUMN(Y16),1,1)))=$F16,SUMPRODUCT(INDIRECT(ADDRESS(ROW($G16),6-$F16,1,1)):INDIRECT(ADDRESS(ROW($G16),5,1,1)),INDIRECT(ADDRESS(ROW($G16),COLUMN(Y16)-$F16+1,1,1)):INDIRECT(ADDRESS(ROW($G16),COLUMN(Y16),1,1))),"")</f>
        <v>1452.2778499999999</v>
      </c>
      <c r="AW16" s="150">
        <f ca="1">IF(COUNT(INDIRECT(ADDRESS(ROW($G16),COLUMN(Z16)-$F16+1,1,1)):INDIRECT(ADDRESS(ROW($G16),COLUMN(Z16),1,1)))=$F16,SUMPRODUCT(INDIRECT(ADDRESS(ROW($G16),6-$F16,1,1)):INDIRECT(ADDRESS(ROW($G16),5,1,1)),INDIRECT(ADDRESS(ROW($G16),COLUMN(Z16)-$F16+1,1,1)):INDIRECT(ADDRESS(ROW($G16),COLUMN(Z16),1,1))),"")</f>
        <v>1206.1931999999999</v>
      </c>
      <c r="AX16" s="150">
        <f ca="1">IF(COUNT(INDIRECT(ADDRESS(ROW($G16),COLUMN(AA16)-$F16+1,1,1)):INDIRECT(ADDRESS(ROW($G16),COLUMN(AA16),1,1)))=$F16,SUMPRODUCT(INDIRECT(ADDRESS(ROW($G16),6-$F16,1,1)):INDIRECT(ADDRESS(ROW($G16),5,1,1)),INDIRECT(ADDRESS(ROW($G16),COLUMN(AA16)-$F16+1,1,1)):INDIRECT(ADDRESS(ROW($G16),COLUMN(AA16),1,1))),"")</f>
        <v>1255.29675</v>
      </c>
      <c r="AY16" s="150">
        <f ca="1">IF(COUNT(INDIRECT(ADDRESS(ROW($G16),COLUMN(AB16)-$F16+1,1,1)):INDIRECT(ADDRESS(ROW($G16),COLUMN(AB16),1,1)))=$F16,SUMPRODUCT(INDIRECT(ADDRESS(ROW($G16),6-$F16,1,1)):INDIRECT(ADDRESS(ROW($G16),5,1,1)),INDIRECT(ADDRESS(ROW($G16),COLUMN(AB16)-$F16+1,1,1)):INDIRECT(ADDRESS(ROW($G16),COLUMN(AB16),1,1))),"")</f>
        <v>1000.52405</v>
      </c>
      <c r="AZ16" s="150">
        <f ca="1">IF(COUNT(INDIRECT(ADDRESS(ROW($G16),COLUMN(AC16)-$F16+1,1,1)):INDIRECT(ADDRESS(ROW($G16),COLUMN(AC16),1,1)))=$F16,SUMPRODUCT(INDIRECT(ADDRESS(ROW($G16),6-$F16,1,1)):INDIRECT(ADDRESS(ROW($G16),5,1,1)),INDIRECT(ADDRESS(ROW($G16),COLUMN(AC16)-$F16+1,1,1)):INDIRECT(ADDRESS(ROW($G16),COLUMN(AC16),1,1))),"")</f>
        <v>1108.2833500000002</v>
      </c>
      <c r="BA16" s="148">
        <f ca="1">IF(COUNT(INDIRECT(ADDRESS(ROW($G16),COLUMN(AD16)-$F16+1,1,1)):INDIRECT(ADDRESS(ROW($G16),COLUMN(AD16),1,1)))=$F16,SUMPRODUCT(INDIRECT(ADDRESS(ROW($G16),6-$F16,1,1)):INDIRECT(ADDRESS(ROW($G16),5,1,1)),INDIRECT(ADDRESS(ROW($G16),COLUMN(AD16)-$F16+1,1,1)):INDIRECT(ADDRESS(ROW($G16),COLUMN(AD16),1,1))),"")</f>
        <v>1351.01485</v>
      </c>
      <c r="BB16" s="149">
        <f t="shared" ca="1" si="1"/>
        <v>1351.01485</v>
      </c>
      <c r="BC16" s="148">
        <f t="shared" ca="1" si="1"/>
        <v>1351.01485</v>
      </c>
      <c r="BD16" s="45" t="str">
        <f t="shared" si="2"/>
        <v/>
      </c>
      <c r="BE16" s="45" t="str">
        <f t="shared" si="2"/>
        <v/>
      </c>
      <c r="BF16" s="45" t="str">
        <f t="shared" si="2"/>
        <v/>
      </c>
      <c r="BG16" s="45" t="str">
        <f t="shared" si="2"/>
        <v/>
      </c>
      <c r="BH16" s="45" t="str">
        <f t="shared" si="2"/>
        <v/>
      </c>
      <c r="BI16" s="45">
        <f t="shared" ca="1" si="2"/>
        <v>796838.57276142284</v>
      </c>
      <c r="BJ16" s="45">
        <f t="shared" ca="1" si="2"/>
        <v>7774.072338490022</v>
      </c>
      <c r="BK16" s="45">
        <f t="shared" ca="1" si="2"/>
        <v>36331.676515690349</v>
      </c>
      <c r="BL16" s="45">
        <f t="shared" ca="1" si="2"/>
        <v>110354.81358930252</v>
      </c>
      <c r="BM16" s="45">
        <f t="shared" ca="1" si="2"/>
        <v>662865.86847306089</v>
      </c>
      <c r="BN16" s="45">
        <f t="shared" ca="1" si="2"/>
        <v>165552.92123580357</v>
      </c>
      <c r="BO16" s="45">
        <f t="shared" ca="1" si="2"/>
        <v>546744.59831524012</v>
      </c>
      <c r="BP16" s="45">
        <f t="shared" ca="1" si="2"/>
        <v>306808.03489650215</v>
      </c>
      <c r="BQ16" s="45">
        <f t="shared" ca="1" si="2"/>
        <v>757356.5578275224</v>
      </c>
      <c r="BR16" s="45">
        <f t="shared" ca="1" si="2"/>
        <v>2326074.5917267608</v>
      </c>
      <c r="BS16" s="45">
        <f t="shared" ca="1" si="2"/>
        <v>1166958.7508998234</v>
      </c>
      <c r="BT16" s="45">
        <f t="shared" ca="1" si="3"/>
        <v>1079233.1122961019</v>
      </c>
      <c r="BU16" s="45">
        <f t="shared" ca="1" si="3"/>
        <v>395830.79205572221</v>
      </c>
      <c r="BV16" s="45">
        <f t="shared" ca="1" si="3"/>
        <v>9942.7222542399832</v>
      </c>
      <c r="BW16" s="45">
        <f t="shared" ca="1" si="3"/>
        <v>152646.2946500626</v>
      </c>
      <c r="BX16" s="45">
        <f t="shared" ca="1" si="3"/>
        <v>7380.8631528025671</v>
      </c>
      <c r="BY16" s="45">
        <f t="shared" ca="1" si="3"/>
        <v>614037.81471192243</v>
      </c>
      <c r="BZ16" s="92">
        <f t="shared" ca="1" si="4"/>
        <v>733.35378099524905</v>
      </c>
      <c r="CA16" s="47">
        <f t="shared" ca="1" si="5"/>
        <v>0.38763044818974529</v>
      </c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93"/>
      <c r="CY16" s="93"/>
      <c r="CZ16" s="93"/>
      <c r="DA16" s="60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60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  <c r="FO16" s="25" t="str">
        <f t="shared" si="6"/>
        <v>weighted average4</v>
      </c>
    </row>
    <row r="17" spans="1:171">
      <c r="A17" s="122">
        <v>0.1</v>
      </c>
      <c r="B17" s="123">
        <v>0.1</v>
      </c>
      <c r="C17" s="123">
        <v>0.15</v>
      </c>
      <c r="D17" s="123">
        <v>0.25</v>
      </c>
      <c r="E17" s="123">
        <v>0.4</v>
      </c>
      <c r="F17" s="124">
        <f t="shared" si="7"/>
        <v>5</v>
      </c>
      <c r="G17" s="39" t="s">
        <v>41</v>
      </c>
      <c r="H17" s="40">
        <v>5</v>
      </c>
      <c r="I17" s="41">
        <v>590.74400000000014</v>
      </c>
      <c r="J17" s="41">
        <v>126.19599999999998</v>
      </c>
      <c r="K17" s="41">
        <v>73.710000000000008</v>
      </c>
      <c r="L17" s="41">
        <v>245.74300000000002</v>
      </c>
      <c r="M17" s="41">
        <v>257</v>
      </c>
      <c r="N17" s="41">
        <v>246</v>
      </c>
      <c r="O17" s="41">
        <v>142</v>
      </c>
      <c r="P17" s="41">
        <v>141</v>
      </c>
      <c r="Q17" s="41">
        <v>140</v>
      </c>
      <c r="R17" s="41">
        <v>269</v>
      </c>
      <c r="S17" s="41">
        <v>255</v>
      </c>
      <c r="T17" s="41">
        <v>268</v>
      </c>
      <c r="U17" s="41">
        <v>148</v>
      </c>
      <c r="V17" s="41">
        <v>141</v>
      </c>
      <c r="W17" s="41">
        <v>130</v>
      </c>
      <c r="X17" s="41">
        <v>256</v>
      </c>
      <c r="Y17" s="41">
        <v>263</v>
      </c>
      <c r="Z17" s="41">
        <v>278</v>
      </c>
      <c r="AA17" s="41">
        <v>133</v>
      </c>
      <c r="AB17" s="41">
        <v>133</v>
      </c>
      <c r="AC17" s="41">
        <v>148</v>
      </c>
      <c r="AD17" s="41">
        <v>273</v>
      </c>
      <c r="AE17" s="150"/>
      <c r="AF17" s="150"/>
      <c r="AG17" s="150"/>
      <c r="AH17" s="150"/>
      <c r="AI17" s="150"/>
      <c r="AJ17" s="150">
        <f ca="1">IF(COUNT(INDIRECT(ADDRESS(ROW($G17),COLUMN(M17)-$F17+1,1,1)):INDIRECT(ADDRESS(ROW($G17),COLUMN(M17),1,1)))=$F17,SUMPRODUCT(INDIRECT(ADDRESS(ROW($G17),6-$F17,1,1)):INDIRECT(ADDRESS(ROW($G17),5,1,1)),INDIRECT(ADDRESS(ROW($G17),COLUMN(M17)-$F17+1,1,1)):INDIRECT(ADDRESS(ROW($G17),COLUMN(M17),1,1))),"")</f>
        <v>246.98625000000004</v>
      </c>
      <c r="AK17" s="150">
        <f ca="1">IF(COUNT(INDIRECT(ADDRESS(ROW($G17),COLUMN(N17)-$F17+1,1,1)):INDIRECT(ADDRESS(ROW($G17),COLUMN(N17),1,1)))=$F17,SUMPRODUCT(INDIRECT(ADDRESS(ROW($G17),6-$F17,1,1)):INDIRECT(ADDRESS(ROW($G17),5,1,1)),INDIRECT(ADDRESS(ROW($G17),COLUMN(N17)-$F17+1,1,1)):INDIRECT(ADDRESS(ROW($G17),COLUMN(N17),1,1))),"")</f>
        <v>219.50205</v>
      </c>
      <c r="AL17" s="150">
        <f ca="1">IF(COUNT(INDIRECT(ADDRESS(ROW($G17),COLUMN(O17)-$F17+1,1,1)):INDIRECT(ADDRESS(ROW($G17),COLUMN(O17),1,1)))=$F17,SUMPRODUCT(INDIRECT(ADDRESS(ROW($G17),6-$F17,1,1)):INDIRECT(ADDRESS(ROW($G17),5,1,1)),INDIRECT(ADDRESS(ROW($G17),COLUMN(O17)-$F17+1,1,1)):INDIRECT(ADDRESS(ROW($G17),COLUMN(O17),1,1))),"")</f>
        <v>188.7953</v>
      </c>
      <c r="AM17" s="150">
        <f ca="1">IF(COUNT(INDIRECT(ADDRESS(ROW($G17),COLUMN(P17)-$F17+1,1,1)):INDIRECT(ADDRESS(ROW($G17),COLUMN(P17),1,1)))=$F17,SUMPRODUCT(INDIRECT(ADDRESS(ROW($G17),6-$F17,1,1)):INDIRECT(ADDRESS(ROW($G17),5,1,1)),INDIRECT(ADDRESS(ROW($G17),COLUMN(P17)-$F17+1,1,1)):INDIRECT(ADDRESS(ROW($G17),COLUMN(P17),1,1))),"")</f>
        <v>179.07430000000002</v>
      </c>
      <c r="AN17" s="150">
        <f ca="1">IF(COUNT(INDIRECT(ADDRESS(ROW($G17),COLUMN(Q17)-$F17+1,1,1)):INDIRECT(ADDRESS(ROW($G17),COLUMN(Q17),1,1)))=$F17,SUMPRODUCT(INDIRECT(ADDRESS(ROW($G17),6-$F17,1,1)):INDIRECT(ADDRESS(ROW($G17),5,1,1)),INDIRECT(ADDRESS(ROW($G17),COLUMN(Q17)-$F17+1,1,1)):INDIRECT(ADDRESS(ROW($G17),COLUMN(Q17),1,1))),"")</f>
        <v>162.85000000000002</v>
      </c>
      <c r="AO17" s="150">
        <f ca="1">IF(COUNT(INDIRECT(ADDRESS(ROW($G17),COLUMN(R17)-$F17+1,1,1)):INDIRECT(ADDRESS(ROW($G17),COLUMN(R17),1,1)))=$F17,SUMPRODUCT(INDIRECT(ADDRESS(ROW($G17),6-$F17,1,1)):INDIRECT(ADDRESS(ROW($G17),5,1,1)),INDIRECT(ADDRESS(ROW($G17),COLUMN(R17)-$F17+1,1,1)):INDIRECT(ADDRESS(ROW($G17),COLUMN(R17),1,1))),"")</f>
        <v>202.55</v>
      </c>
      <c r="AP17" s="150">
        <f ca="1">IF(COUNT(INDIRECT(ADDRESS(ROW($G17),COLUMN(S17)-$F17+1,1,1)):INDIRECT(ADDRESS(ROW($G17),COLUMN(S17),1,1)))=$F17,SUMPRODUCT(INDIRECT(ADDRESS(ROW($G17),6-$F17,1,1)):INDIRECT(ADDRESS(ROW($G17),5,1,1)),INDIRECT(ADDRESS(ROW($G17),COLUMN(S17)-$F17+1,1,1)):INDIRECT(ADDRESS(ROW($G17),COLUMN(S17),1,1))),"")</f>
        <v>218.55</v>
      </c>
      <c r="AQ17" s="150">
        <f ca="1">IF(COUNT(INDIRECT(ADDRESS(ROW($G17),COLUMN(T17)-$F17+1,1,1)):INDIRECT(ADDRESS(ROW($G17),COLUMN(T17),1,1)))=$F17,SUMPRODUCT(INDIRECT(ADDRESS(ROW($G17),6-$F17,1,1)):INDIRECT(ADDRESS(ROW($G17),5,1,1)),INDIRECT(ADDRESS(ROW($G17),COLUMN(T17)-$F17+1,1,1)):INDIRECT(ADDRESS(ROW($G17),COLUMN(T17),1,1))),"")</f>
        <v>239.39999999999998</v>
      </c>
      <c r="AR17" s="150">
        <f ca="1">IF(COUNT(INDIRECT(ADDRESS(ROW($G17),COLUMN(U17)-$F17+1,1,1)):INDIRECT(ADDRESS(ROW($G17),COLUMN(U17),1,1)))=$F17,SUMPRODUCT(INDIRECT(ADDRESS(ROW($G17),6-$F17,1,1)):INDIRECT(ADDRESS(ROW($G17),5,1,1)),INDIRECT(ADDRESS(ROW($G17),COLUMN(U17)-$F17+1,1,1)):INDIRECT(ADDRESS(ROW($G17),COLUMN(U17),1,1))),"")</f>
        <v>205.35000000000002</v>
      </c>
      <c r="AS17" s="150">
        <f ca="1">IF(COUNT(INDIRECT(ADDRESS(ROW($G17),COLUMN(V17)-$F17+1,1,1)):INDIRECT(ADDRESS(ROW($G17),COLUMN(V17),1,1)))=$F17,SUMPRODUCT(INDIRECT(ADDRESS(ROW($G17),6-$F17,1,1)):INDIRECT(ADDRESS(ROW($G17),5,1,1)),INDIRECT(ADDRESS(ROW($G17),COLUMN(V17)-$F17+1,1,1)):INDIRECT(ADDRESS(ROW($G17),COLUMN(V17),1,1))),"")</f>
        <v>186</v>
      </c>
      <c r="AT17" s="150">
        <f ca="1">IF(COUNT(INDIRECT(ADDRESS(ROW($G17),COLUMN(W17)-$F17+1,1,1)):INDIRECT(ADDRESS(ROW($G17),COLUMN(W17),1,1)))=$F17,SUMPRODUCT(INDIRECT(ADDRESS(ROW($G17),6-$F17,1,1)):INDIRECT(ADDRESS(ROW($G17),5,1,1)),INDIRECT(ADDRESS(ROW($G17),COLUMN(W17)-$F17+1,1,1)):INDIRECT(ADDRESS(ROW($G17),COLUMN(W17),1,1))),"")</f>
        <v>161.75</v>
      </c>
      <c r="AU17" s="150">
        <f ca="1">IF(COUNT(INDIRECT(ADDRESS(ROW($G17),COLUMN(X17)-$F17+1,1,1)):INDIRECT(ADDRESS(ROW($G17),COLUMN(X17),1,1)))=$F17,SUMPRODUCT(INDIRECT(ADDRESS(ROW($G17),6-$F17,1,1)):INDIRECT(ADDRESS(ROW($G17),5,1,1)),INDIRECT(ADDRESS(ROW($G17),COLUMN(X17)-$F17+1,1,1)):INDIRECT(ADDRESS(ROW($G17),COLUMN(X17),1,1))),"")</f>
        <v>197.65</v>
      </c>
      <c r="AV17" s="150">
        <f ca="1">IF(COUNT(INDIRECT(ADDRESS(ROW($G17),COLUMN(Y17)-$F17+1,1,1)):INDIRECT(ADDRESS(ROW($G17),COLUMN(Y17),1,1)))=$F17,SUMPRODUCT(INDIRECT(ADDRESS(ROW($G17),6-$F17,1,1)):INDIRECT(ADDRESS(ROW($G17),5,1,1)),INDIRECT(ADDRESS(ROW($G17),COLUMN(Y17)-$F17+1,1,1)):INDIRECT(ADDRESS(ROW($G17),COLUMN(Y17),1,1))),"")</f>
        <v>217.60000000000002</v>
      </c>
      <c r="AW17" s="150">
        <f ca="1">IF(COUNT(INDIRECT(ADDRESS(ROW($G17),COLUMN(Z17)-$F17+1,1,1)):INDIRECT(ADDRESS(ROW($G17),COLUMN(Z17),1,1)))=$F17,SUMPRODUCT(INDIRECT(ADDRESS(ROW($G17),6-$F17,1,1)):INDIRECT(ADDRESS(ROW($G17),5,1,1)),INDIRECT(ADDRESS(ROW($G17),COLUMN(Z17)-$F17+1,1,1)):INDIRECT(ADDRESS(ROW($G17),COLUMN(Z17),1,1))),"")</f>
        <v>242.45</v>
      </c>
      <c r="AX17" s="150">
        <f ca="1">IF(COUNT(INDIRECT(ADDRESS(ROW($G17),COLUMN(AA17)-$F17+1,1,1)):INDIRECT(ADDRESS(ROW($G17),COLUMN(AA17),1,1)))=$F17,SUMPRODUCT(INDIRECT(ADDRESS(ROW($G17),6-$F17,1,1)):INDIRECT(ADDRESS(ROW($G17),5,1,1)),INDIRECT(ADDRESS(ROW($G17),COLUMN(AA17)-$F17+1,1,1)):INDIRECT(ADDRESS(ROW($G17),COLUMN(AA17),1,1))),"")</f>
        <v>200.75</v>
      </c>
      <c r="AY17" s="150">
        <f ca="1">IF(COUNT(INDIRECT(ADDRESS(ROW($G17),COLUMN(AB17)-$F17+1,1,1)):INDIRECT(ADDRESS(ROW($G17),COLUMN(AB17),1,1)))=$F17,SUMPRODUCT(INDIRECT(ADDRESS(ROW($G17),6-$F17,1,1)):INDIRECT(ADDRESS(ROW($G17),5,1,1)),INDIRECT(ADDRESS(ROW($G17),COLUMN(AB17)-$F17+1,1,1)):INDIRECT(ADDRESS(ROW($G17),COLUMN(AB17),1,1))),"")</f>
        <v>180.05</v>
      </c>
      <c r="AZ17" s="150">
        <f ca="1">IF(COUNT(INDIRECT(ADDRESS(ROW($G17),COLUMN(AC17)-$F17+1,1,1)):INDIRECT(ADDRESS(ROW($G17),COLUMN(AC17),1,1)))=$F17,SUMPRODUCT(INDIRECT(ADDRESS(ROW($G17),6-$F17,1,1)):INDIRECT(ADDRESS(ROW($G17),5,1,1)),INDIRECT(ADDRESS(ROW($G17),COLUMN(AC17)-$F17+1,1,1)):INDIRECT(ADDRESS(ROW($G17),COLUMN(AC17),1,1))),"")</f>
        <v>166.5</v>
      </c>
      <c r="BA17" s="148">
        <f ca="1">IF(COUNT(INDIRECT(ADDRESS(ROW($G17),COLUMN(AD17)-$F17+1,1,1)):INDIRECT(ADDRESS(ROW($G17),COLUMN(AD17),1,1)))=$F17,SUMPRODUCT(INDIRECT(ADDRESS(ROW($G17),6-$F17,1,1)):INDIRECT(ADDRESS(ROW($G17),5,1,1)),INDIRECT(ADDRESS(ROW($G17),COLUMN(AD17)-$F17+1,1,1)):INDIRECT(ADDRESS(ROW($G17),COLUMN(AD17),1,1))),"")</f>
        <v>207.25</v>
      </c>
      <c r="BB17" s="149">
        <f t="shared" ca="1" si="1"/>
        <v>207.25</v>
      </c>
      <c r="BC17" s="148">
        <f t="shared" ca="1" si="1"/>
        <v>207.25</v>
      </c>
      <c r="BD17" s="45" t="str">
        <f t="shared" si="2"/>
        <v/>
      </c>
      <c r="BE17" s="45" t="str">
        <f t="shared" si="2"/>
        <v/>
      </c>
      <c r="BF17" s="45" t="str">
        <f t="shared" si="2"/>
        <v/>
      </c>
      <c r="BG17" s="45" t="str">
        <f t="shared" si="2"/>
        <v/>
      </c>
      <c r="BH17" s="45" t="str">
        <f t="shared" si="2"/>
        <v/>
      </c>
      <c r="BI17" s="45">
        <f t="shared" ca="1" si="2"/>
        <v>0.97268906250008069</v>
      </c>
      <c r="BJ17" s="45">
        <f t="shared" ca="1" si="2"/>
        <v>6006.5677542024996</v>
      </c>
      <c r="BK17" s="45">
        <f t="shared" ca="1" si="2"/>
        <v>2284.3907020899996</v>
      </c>
      <c r="BL17" s="45">
        <f t="shared" ca="1" si="2"/>
        <v>1526.8009204900018</v>
      </c>
      <c r="BM17" s="45">
        <f t="shared" ca="1" si="2"/>
        <v>11267.822499999995</v>
      </c>
      <c r="BN17" s="45">
        <f t="shared" ca="1" si="2"/>
        <v>2751.0024999999987</v>
      </c>
      <c r="BO17" s="45">
        <f t="shared" ca="1" si="2"/>
        <v>2445.3024999999989</v>
      </c>
      <c r="BP17" s="45">
        <f t="shared" ca="1" si="2"/>
        <v>8353.9599999999955</v>
      </c>
      <c r="BQ17" s="45">
        <f t="shared" ca="1" si="2"/>
        <v>4140.9225000000033</v>
      </c>
      <c r="BR17" s="45">
        <f t="shared" ca="1" si="2"/>
        <v>3136</v>
      </c>
      <c r="BS17" s="45">
        <f t="shared" ca="1" si="2"/>
        <v>8883.0625</v>
      </c>
      <c r="BT17" s="45">
        <f t="shared" ca="1" si="3"/>
        <v>4270.6224999999995</v>
      </c>
      <c r="BU17" s="45">
        <f t="shared" ca="1" si="3"/>
        <v>3648.1599999999971</v>
      </c>
      <c r="BV17" s="45">
        <f t="shared" ca="1" si="3"/>
        <v>11979.302499999998</v>
      </c>
      <c r="BW17" s="45">
        <f t="shared" ca="1" si="3"/>
        <v>4590.0625</v>
      </c>
      <c r="BX17" s="45">
        <f t="shared" ca="1" si="3"/>
        <v>1027.2025000000008</v>
      </c>
      <c r="BY17" s="45">
        <f t="shared" ca="1" si="3"/>
        <v>11342.25</v>
      </c>
      <c r="BZ17" s="92">
        <f t="shared" ca="1" si="4"/>
        <v>71.806277198095316</v>
      </c>
      <c r="CA17" s="47">
        <f t="shared" ca="1" si="5"/>
        <v>0.26302665640327955</v>
      </c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93"/>
      <c r="CY17" s="93"/>
      <c r="CZ17" s="93"/>
      <c r="DA17" s="60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60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25" t="str">
        <f t="shared" si="6"/>
        <v>weighted average5</v>
      </c>
    </row>
    <row r="18" spans="1:171">
      <c r="A18" s="122">
        <v>0.1</v>
      </c>
      <c r="B18" s="123">
        <v>0.1</v>
      </c>
      <c r="C18" s="123">
        <v>0.15</v>
      </c>
      <c r="D18" s="123">
        <v>0.25</v>
      </c>
      <c r="E18" s="123">
        <v>0.4</v>
      </c>
      <c r="F18" s="124">
        <f t="shared" si="7"/>
        <v>5</v>
      </c>
      <c r="G18" s="39" t="s">
        <v>41</v>
      </c>
      <c r="H18" s="40">
        <v>6</v>
      </c>
      <c r="I18" s="41"/>
      <c r="J18" s="41"/>
      <c r="K18" s="41"/>
      <c r="L18" s="41"/>
      <c r="M18" s="41"/>
      <c r="N18" s="41"/>
      <c r="O18" s="41">
        <v>266.03799999999995</v>
      </c>
      <c r="P18" s="41">
        <v>232.57400000000007</v>
      </c>
      <c r="Q18" s="41">
        <v>115.23299999999999</v>
      </c>
      <c r="R18" s="41">
        <v>203.98799999999997</v>
      </c>
      <c r="S18" s="41">
        <v>180.53700000000001</v>
      </c>
      <c r="T18" s="41">
        <v>869.18299999999977</v>
      </c>
      <c r="U18" s="41">
        <v>1078.4489999999998</v>
      </c>
      <c r="V18" s="41">
        <v>1258.0669999999996</v>
      </c>
      <c r="W18" s="41">
        <v>1027.184</v>
      </c>
      <c r="X18" s="41">
        <v>624.39099999999996</v>
      </c>
      <c r="Y18" s="41">
        <v>1201.8340000000001</v>
      </c>
      <c r="Z18" s="41">
        <v>548.27800000000002</v>
      </c>
      <c r="AA18" s="41">
        <v>1219.8130000000006</v>
      </c>
      <c r="AB18" s="41">
        <v>393.93799999999987</v>
      </c>
      <c r="AC18" s="41">
        <v>240.81100000000015</v>
      </c>
      <c r="AD18" s="41">
        <v>1097.4179999999999</v>
      </c>
      <c r="AE18" s="150"/>
      <c r="AF18" s="150"/>
      <c r="AG18" s="150"/>
      <c r="AH18" s="150"/>
      <c r="AI18" s="150"/>
      <c r="AJ18" s="150" t="str">
        <f ca="1">IF(COUNT(INDIRECT(ADDRESS(ROW($G18),COLUMN(M18)-$F18+1,1,1)):INDIRECT(ADDRESS(ROW($G18),COLUMN(M18),1,1)))=$F18,SUMPRODUCT(INDIRECT(ADDRESS(ROW($G18),6-$F18,1,1)):INDIRECT(ADDRESS(ROW($G18),5,1,1)),INDIRECT(ADDRESS(ROW($G18),COLUMN(M18)-$F18+1,1,1)):INDIRECT(ADDRESS(ROW($G18),COLUMN(M18),1,1))),"")</f>
        <v/>
      </c>
      <c r="AK18" s="150" t="str">
        <f ca="1">IF(COUNT(INDIRECT(ADDRESS(ROW($G18),COLUMN(N18)-$F18+1,1,1)):INDIRECT(ADDRESS(ROW($G18),COLUMN(N18),1,1)))=$F18,SUMPRODUCT(INDIRECT(ADDRESS(ROW($G18),6-$F18,1,1)):INDIRECT(ADDRESS(ROW($G18),5,1,1)),INDIRECT(ADDRESS(ROW($G18),COLUMN(N18)-$F18+1,1,1)):INDIRECT(ADDRESS(ROW($G18),COLUMN(N18),1,1))),"")</f>
        <v/>
      </c>
      <c r="AL18" s="150" t="str">
        <f ca="1">IF(COUNT(INDIRECT(ADDRESS(ROW($G18),COLUMN(O18)-$F18+1,1,1)):INDIRECT(ADDRESS(ROW($G18),COLUMN(O18),1,1)))=$F18,SUMPRODUCT(INDIRECT(ADDRESS(ROW($G18),6-$F18,1,1)):INDIRECT(ADDRESS(ROW($G18),5,1,1)),INDIRECT(ADDRESS(ROW($G18),COLUMN(O18)-$F18+1,1,1)):INDIRECT(ADDRESS(ROW($G18),COLUMN(O18),1,1))),"")</f>
        <v/>
      </c>
      <c r="AM18" s="150" t="str">
        <f ca="1">IF(COUNT(INDIRECT(ADDRESS(ROW($G18),COLUMN(P18)-$F18+1,1,1)):INDIRECT(ADDRESS(ROW($G18),COLUMN(P18),1,1)))=$F18,SUMPRODUCT(INDIRECT(ADDRESS(ROW($G18),6-$F18,1,1)):INDIRECT(ADDRESS(ROW($G18),5,1,1)),INDIRECT(ADDRESS(ROW($G18),COLUMN(P18)-$F18+1,1,1)):INDIRECT(ADDRESS(ROW($G18),COLUMN(P18),1,1))),"")</f>
        <v/>
      </c>
      <c r="AN18" s="150" t="str">
        <f ca="1">IF(COUNT(INDIRECT(ADDRESS(ROW($G18),COLUMN(Q18)-$F18+1,1,1)):INDIRECT(ADDRESS(ROW($G18),COLUMN(Q18),1,1)))=$F18,SUMPRODUCT(INDIRECT(ADDRESS(ROW($G18),6-$F18,1,1)):INDIRECT(ADDRESS(ROW($G18),5,1,1)),INDIRECT(ADDRESS(ROW($G18),COLUMN(Q18)-$F18+1,1,1)):INDIRECT(ADDRESS(ROW($G18),COLUMN(Q18),1,1))),"")</f>
        <v/>
      </c>
      <c r="AO18" s="150" t="str">
        <f ca="1">IF(COUNT(INDIRECT(ADDRESS(ROW($G18),COLUMN(R18)-$F18+1,1,1)):INDIRECT(ADDRESS(ROW($G18),COLUMN(R18),1,1)))=$F18,SUMPRODUCT(INDIRECT(ADDRESS(ROW($G18),6-$F18,1,1)):INDIRECT(ADDRESS(ROW($G18),5,1,1)),INDIRECT(ADDRESS(ROW($G18),COLUMN(R18)-$F18+1,1,1)):INDIRECT(ADDRESS(ROW($G18),COLUMN(R18),1,1))),"")</f>
        <v/>
      </c>
      <c r="AP18" s="150">
        <f ca="1">IF(COUNT(INDIRECT(ADDRESS(ROW($G18),COLUMN(S18)-$F18+1,1,1)):INDIRECT(ADDRESS(ROW($G18),COLUMN(S18),1,1)))=$F18,SUMPRODUCT(INDIRECT(ADDRESS(ROW($G18),6-$F18,1,1)):INDIRECT(ADDRESS(ROW($G18),5,1,1)),INDIRECT(ADDRESS(ROW($G18),COLUMN(S18)-$F18+1,1,1)):INDIRECT(ADDRESS(ROW($G18),COLUMN(S18),1,1))),"")</f>
        <v>190.35795000000002</v>
      </c>
      <c r="AQ18" s="150">
        <f ca="1">IF(COUNT(INDIRECT(ADDRESS(ROW($G18),COLUMN(T18)-$F18+1,1,1)):INDIRECT(ADDRESS(ROW($G18),COLUMN(T18),1,1)))=$F18,SUMPRODUCT(INDIRECT(ADDRESS(ROW($G18),6-$F18,1,1)):INDIRECT(ADDRESS(ROW($G18),5,1,1)),INDIRECT(ADDRESS(ROW($G18),COLUMN(T18)-$F18+1,1,1)):INDIRECT(ADDRESS(ROW($G18),COLUMN(T18),1,1))),"")</f>
        <v>458.18634999999995</v>
      </c>
      <c r="AR18" s="150">
        <f ca="1">IF(COUNT(INDIRECT(ADDRESS(ROW($G18),COLUMN(U18)-$F18+1,1,1)):INDIRECT(ADDRESS(ROW($G18),COLUMN(U18),1,1)))=$F18,SUMPRODUCT(INDIRECT(ADDRESS(ROW($G18),6-$F18,1,1)):INDIRECT(ADDRESS(ROW($G18),5,1,1)),INDIRECT(ADDRESS(ROW($G18),COLUMN(U18)-$F18+1,1,1)):INDIRECT(ADDRESS(ROW($G18),COLUMN(U18),1,1))),"")</f>
        <v>707.67799999999988</v>
      </c>
      <c r="AS18" s="150">
        <f ca="1">IF(COUNT(INDIRECT(ADDRESS(ROW($G18),COLUMN(V18)-$F18+1,1,1)):INDIRECT(ADDRESS(ROW($G18),COLUMN(V18),1,1)))=$F18,SUMPRODUCT(INDIRECT(ADDRESS(ROW($G18),6-$F18,1,1)):INDIRECT(ADDRESS(ROW($G18),5,1,1)),INDIRECT(ADDRESS(ROW($G18),COLUMN(V18)-$F18+1,1,1)):INDIRECT(ADDRESS(ROW($G18),COLUMN(V18),1,1))),"")</f>
        <v>941.66899999999976</v>
      </c>
      <c r="AT18" s="150">
        <f ca="1">IF(COUNT(INDIRECT(ADDRESS(ROW($G18),COLUMN(W18)-$F18+1,1,1)):INDIRECT(ADDRESS(ROW($G18),COLUMN(W18),1,1)))=$F18,SUMPRODUCT(INDIRECT(ADDRESS(ROW($G18),6-$F18,1,1)):INDIRECT(ADDRESS(ROW($G18),5,1,1)),INDIRECT(ADDRESS(ROW($G18),COLUMN(W18)-$F18+1,1,1)):INDIRECT(ADDRESS(ROW($G18),COLUMN(W18),1,1))),"")</f>
        <v>992.12969999999984</v>
      </c>
      <c r="AU18" s="150">
        <f ca="1">IF(COUNT(INDIRECT(ADDRESS(ROW($G18),COLUMN(X18)-$F18+1,1,1)):INDIRECT(ADDRESS(ROW($G18),COLUMN(X18),1,1)))=$F18,SUMPRODUCT(INDIRECT(ADDRESS(ROW($G18),6-$F18,1,1)):INDIRECT(ADDRESS(ROW($G18),5,1,1)),INDIRECT(ADDRESS(ROW($G18),COLUMN(X18)-$F18+1,1,1)):INDIRECT(ADDRESS(ROW($G18),COLUMN(X18),1,1))),"")</f>
        <v>890.02564999999981</v>
      </c>
      <c r="AV18" s="150">
        <f ca="1">IF(COUNT(INDIRECT(ADDRESS(ROW($G18),COLUMN(Y18)-$F18+1,1,1)):INDIRECT(ADDRESS(ROW($G18),COLUMN(Y18),1,1)))=$F18,SUMPRODUCT(INDIRECT(ADDRESS(ROW($G18),6-$F18,1,1)):INDIRECT(ADDRESS(ROW($G18),5,1,1)),INDIRECT(ADDRESS(ROW($G18),COLUMN(Y18)-$F18+1,1,1)):INDIRECT(ADDRESS(ROW($G18),COLUMN(Y18),1,1))),"")</f>
        <v>1024.5605500000001</v>
      </c>
      <c r="AW18" s="150">
        <f ca="1">IF(COUNT(INDIRECT(ADDRESS(ROW($G18),COLUMN(Z18)-$F18+1,1,1)):INDIRECT(ADDRESS(ROW($G18),COLUMN(Z18),1,1)))=$F18,SUMPRODUCT(INDIRECT(ADDRESS(ROW($G18),6-$F18,1,1)):INDIRECT(ADDRESS(ROW($G18),5,1,1)),INDIRECT(ADDRESS(ROW($G18),COLUMN(Z18)-$F18+1,1,1)):INDIRECT(ADDRESS(ROW($G18),COLUMN(Z18),1,1))),"")</f>
        <v>841.95344999999986</v>
      </c>
      <c r="AX18" s="150">
        <f ca="1">IF(COUNT(INDIRECT(ADDRESS(ROW($G18),COLUMN(AA18)-$F18+1,1,1)):INDIRECT(ADDRESS(ROW($G18),COLUMN(AA18),1,1)))=$F18,SUMPRODUCT(INDIRECT(ADDRESS(ROW($G18),6-$F18,1,1)):INDIRECT(ADDRESS(ROW($G18),5,1,1)),INDIRECT(ADDRESS(ROW($G18),COLUMN(AA18)-$F18+1,1,1)):INDIRECT(ADDRESS(ROW($G18),COLUMN(AA18),1,1))),"")</f>
        <v>970.42730000000029</v>
      </c>
      <c r="AY18" s="150">
        <f ca="1">IF(COUNT(INDIRECT(ADDRESS(ROW($G18),COLUMN(AB18)-$F18+1,1,1)):INDIRECT(ADDRESS(ROW($G18),COLUMN(AB18),1,1)))=$F18,SUMPRODUCT(INDIRECT(ADDRESS(ROW($G18),6-$F18,1,1)):INDIRECT(ADDRESS(ROW($G18),5,1,1)),INDIRECT(ADDRESS(ROW($G18),COLUMN(AB18)-$F18+1,1,1)):INDIRECT(ADDRESS(ROW($G18),COLUMN(AB18),1,1))),"")</f>
        <v>727.39265000000012</v>
      </c>
      <c r="AZ18" s="150">
        <f ca="1">IF(COUNT(INDIRECT(ADDRESS(ROW($G18),COLUMN(AC18)-$F18+1,1,1)):INDIRECT(ADDRESS(ROW($G18),COLUMN(AC18),1,1)))=$F18,SUMPRODUCT(INDIRECT(ADDRESS(ROW($G18),6-$F18,1,1)):INDIRECT(ADDRESS(ROW($G18),5,1,1)),INDIRECT(ADDRESS(ROW($G18),COLUMN(AC18)-$F18+1,1,1)):INDIRECT(ADDRESS(ROW($G18),COLUMN(AC18),1,1))),"")</f>
        <v>552.79205000000013</v>
      </c>
      <c r="BA18" s="148">
        <f ca="1">IF(COUNT(INDIRECT(ADDRESS(ROW($G18),COLUMN(AD18)-$F18+1,1,1)):INDIRECT(ADDRESS(ROW($G18),COLUMN(AD18),1,1)))=$F18,SUMPRODUCT(INDIRECT(ADDRESS(ROW($G18),6-$F18,1,1)):INDIRECT(ADDRESS(ROW($G18),5,1,1)),INDIRECT(ADDRESS(ROW($G18),COLUMN(AD18)-$F18+1,1,1)):INDIRECT(ADDRESS(ROW($G18),COLUMN(AD18),1,1))),"")</f>
        <v>735.06975000000011</v>
      </c>
      <c r="BB18" s="149">
        <f t="shared" ca="1" si="1"/>
        <v>735.06975000000011</v>
      </c>
      <c r="BC18" s="148">
        <f t="shared" ca="1" si="1"/>
        <v>735.06975000000011</v>
      </c>
      <c r="BD18" s="45" t="str">
        <f t="shared" si="2"/>
        <v/>
      </c>
      <c r="BE18" s="45" t="str">
        <f t="shared" si="2"/>
        <v/>
      </c>
      <c r="BF18" s="45" t="str">
        <f t="shared" si="2"/>
        <v/>
      </c>
      <c r="BG18" s="45" t="str">
        <f t="shared" si="2"/>
        <v/>
      </c>
      <c r="BH18" s="45" t="str">
        <f t="shared" si="2"/>
        <v/>
      </c>
      <c r="BI18" s="45" t="str">
        <f t="shared" ca="1" si="2"/>
        <v/>
      </c>
      <c r="BJ18" s="45" t="str">
        <f t="shared" ca="1" si="2"/>
        <v/>
      </c>
      <c r="BK18" s="45" t="str">
        <f t="shared" ca="1" si="2"/>
        <v/>
      </c>
      <c r="BL18" s="45" t="str">
        <f t="shared" ca="1" si="2"/>
        <v/>
      </c>
      <c r="BM18" s="45" t="str">
        <f t="shared" ca="1" si="2"/>
        <v/>
      </c>
      <c r="BN18" s="45" t="str">
        <f t="shared" ca="1" si="2"/>
        <v/>
      </c>
      <c r="BO18" s="45">
        <f t="shared" ca="1" si="2"/>
        <v>460803.44850750209</v>
      </c>
      <c r="BP18" s="45">
        <f t="shared" ca="1" si="2"/>
        <v>384725.75498502236</v>
      </c>
      <c r="BQ18" s="45">
        <f t="shared" ca="1" si="2"/>
        <v>302928.05132099963</v>
      </c>
      <c r="BR18" s="45">
        <f t="shared" ca="1" si="2"/>
        <v>7312.8152250000367</v>
      </c>
      <c r="BS18" s="45">
        <f t="shared" ca="1" si="2"/>
        <v>135231.75147768992</v>
      </c>
      <c r="BT18" s="45">
        <f t="shared" ca="1" si="3"/>
        <v>97224.447129722656</v>
      </c>
      <c r="BU18" s="45">
        <f t="shared" ca="1" si="3"/>
        <v>226845.06743450262</v>
      </c>
      <c r="BV18" s="45">
        <f t="shared" ca="1" si="3"/>
        <v>142777.83952620302</v>
      </c>
      <c r="BW18" s="45">
        <f t="shared" ca="1" si="3"/>
        <v>332339.91301449045</v>
      </c>
      <c r="BX18" s="45">
        <f t="shared" ca="1" si="3"/>
        <v>236761.70211672247</v>
      </c>
      <c r="BY18" s="45">
        <f t="shared" ca="1" si="3"/>
        <v>296617.42541340226</v>
      </c>
      <c r="BZ18" s="92">
        <f t="shared" ca="1" si="4"/>
        <v>488.37096706120457</v>
      </c>
      <c r="CA18" s="47">
        <f t="shared" ca="1" si="5"/>
        <v>0.4450181854691691</v>
      </c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93"/>
      <c r="CY18" s="93"/>
      <c r="CZ18" s="93"/>
      <c r="DA18" s="60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60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25" t="str">
        <f t="shared" si="6"/>
        <v>weighted average6</v>
      </c>
    </row>
    <row r="19" spans="1:171">
      <c r="A19" s="122">
        <v>0.1</v>
      </c>
      <c r="B19" s="123">
        <v>0.1</v>
      </c>
      <c r="C19" s="123">
        <v>0.15</v>
      </c>
      <c r="D19" s="123">
        <v>0.25</v>
      </c>
      <c r="E19" s="123">
        <v>0.4</v>
      </c>
      <c r="F19" s="124">
        <f t="shared" si="7"/>
        <v>5</v>
      </c>
      <c r="G19" s="39" t="s">
        <v>41</v>
      </c>
      <c r="H19" s="40">
        <v>7</v>
      </c>
      <c r="I19" s="41">
        <v>198</v>
      </c>
      <c r="J19" s="41">
        <v>186</v>
      </c>
      <c r="K19" s="41">
        <v>177.429</v>
      </c>
      <c r="L19" s="41">
        <v>157</v>
      </c>
      <c r="M19" s="41">
        <v>126.622</v>
      </c>
      <c r="N19" s="41">
        <v>177.429</v>
      </c>
      <c r="O19" s="41">
        <v>157</v>
      </c>
      <c r="P19" s="41">
        <v>126.622</v>
      </c>
      <c r="Q19" s="41">
        <v>177.429</v>
      </c>
      <c r="R19" s="41">
        <v>157</v>
      </c>
      <c r="S19" s="41">
        <v>126.622</v>
      </c>
      <c r="T19" s="41">
        <v>177.429</v>
      </c>
      <c r="U19" s="41">
        <v>157</v>
      </c>
      <c r="V19" s="41">
        <v>126.622</v>
      </c>
      <c r="W19" s="41">
        <v>128.38799999999998</v>
      </c>
      <c r="X19" s="41">
        <v>203.08599999999998</v>
      </c>
      <c r="Y19" s="41">
        <v>177.429</v>
      </c>
      <c r="Z19" s="41">
        <v>157</v>
      </c>
      <c r="AA19" s="41">
        <v>126.622</v>
      </c>
      <c r="AB19" s="41">
        <v>165</v>
      </c>
      <c r="AC19" s="41">
        <v>121.236</v>
      </c>
      <c r="AD19" s="41">
        <v>127.90299999999999</v>
      </c>
      <c r="AE19" s="150"/>
      <c r="AF19" s="150"/>
      <c r="AG19" s="150"/>
      <c r="AH19" s="150"/>
      <c r="AI19" s="150"/>
      <c r="AJ19" s="150">
        <f ca="1">IF(COUNT(INDIRECT(ADDRESS(ROW($G19),COLUMN(M19)-$F19+1,1,1)):INDIRECT(ADDRESS(ROW($G19),COLUMN(M19),1,1)))=$F19,SUMPRODUCT(INDIRECT(ADDRESS(ROW($G19),6-$F19,1,1)):INDIRECT(ADDRESS(ROW($G19),5,1,1)),INDIRECT(ADDRESS(ROW($G19),COLUMN(M19)-$F19+1,1,1)):INDIRECT(ADDRESS(ROW($G19),COLUMN(M19),1,1))),"")</f>
        <v>154.91315</v>
      </c>
      <c r="AK19" s="150">
        <f ca="1">IF(COUNT(INDIRECT(ADDRESS(ROW($G19),COLUMN(N19)-$F19+1,1,1)):INDIRECT(ADDRESS(ROW($G19),COLUMN(N19),1,1)))=$F19,SUMPRODUCT(INDIRECT(ADDRESS(ROW($G19),6-$F19,1,1)):INDIRECT(ADDRESS(ROW($G19),5,1,1)),INDIRECT(ADDRESS(ROW($G19),COLUMN(N19)-$F19+1,1,1)):INDIRECT(ADDRESS(ROW($G19),COLUMN(N19),1,1))),"")</f>
        <v>162.52000000000001</v>
      </c>
      <c r="AL19" s="150">
        <f ca="1">IF(COUNT(INDIRECT(ADDRESS(ROW($G19),COLUMN(O19)-$F19+1,1,1)):INDIRECT(ADDRESS(ROW($G19),COLUMN(O19),1,1)))=$F19,SUMPRODUCT(INDIRECT(ADDRESS(ROW($G19),6-$F19,1,1)):INDIRECT(ADDRESS(ROW($G19),5,1,1)),INDIRECT(ADDRESS(ROW($G19),COLUMN(O19)-$F19+1,1,1)):INDIRECT(ADDRESS(ROW($G19),COLUMN(O19),1,1))),"")</f>
        <v>159.59345000000002</v>
      </c>
      <c r="AM19" s="150">
        <f ca="1">IF(COUNT(INDIRECT(ADDRESS(ROW($G19),COLUMN(P19)-$F19+1,1,1)):INDIRECT(ADDRESS(ROW($G19),COLUMN(P19),1,1)))=$F19,SUMPRODUCT(INDIRECT(ADDRESS(ROW($G19),6-$F19,1,1)):INDIRECT(ADDRESS(ROW($G19),5,1,1)),INDIRECT(ADDRESS(ROW($G19),COLUMN(P19)-$F19+1,1,1)):INDIRECT(ADDRESS(ROW($G19),COLUMN(P19),1,1))),"")</f>
        <v>144.87535</v>
      </c>
      <c r="AN19" s="150">
        <f ca="1">IF(COUNT(INDIRECT(ADDRESS(ROW($G19),COLUMN(Q19)-$F19+1,1,1)):INDIRECT(ADDRESS(ROW($G19),COLUMN(Q19),1,1)))=$F19,SUMPRODUCT(INDIRECT(ADDRESS(ROW($G19),6-$F19,1,1)):INDIRECT(ADDRESS(ROW($G19),5,1,1)),INDIRECT(ADDRESS(ROW($G19),COLUMN(Q19)-$F19+1,1,1)):INDIRECT(ADDRESS(ROW($G19),COLUMN(Q19),1,1))),"")</f>
        <v>156.5822</v>
      </c>
      <c r="AO19" s="150">
        <f ca="1">IF(COUNT(INDIRECT(ADDRESS(ROW($G19),COLUMN(R19)-$F19+1,1,1)):INDIRECT(ADDRESS(ROW($G19),COLUMN(R19),1,1)))=$F19,SUMPRODUCT(INDIRECT(ADDRESS(ROW($G19),6-$F19,1,1)):INDIRECT(ADDRESS(ROW($G19),5,1,1)),INDIRECT(ADDRESS(ROW($G19),COLUMN(R19)-$F19+1,1,1)):INDIRECT(ADDRESS(ROW($G19),COLUMN(R19),1,1))),"")</f>
        <v>159.59345000000002</v>
      </c>
      <c r="AP19" s="150">
        <f ca="1">IF(COUNT(INDIRECT(ADDRESS(ROW($G19),COLUMN(S19)-$F19+1,1,1)):INDIRECT(ADDRESS(ROW($G19),COLUMN(S19),1,1)))=$F19,SUMPRODUCT(INDIRECT(ADDRESS(ROW($G19),6-$F19,1,1)):INDIRECT(ADDRESS(ROW($G19),5,1,1)),INDIRECT(ADDRESS(ROW($G19),COLUMN(S19)-$F19+1,1,1)):INDIRECT(ADDRESS(ROW($G19),COLUMN(S19),1,1))),"")</f>
        <v>144.87535</v>
      </c>
      <c r="AQ19" s="150">
        <f ca="1">IF(COUNT(INDIRECT(ADDRESS(ROW($G19),COLUMN(T19)-$F19+1,1,1)):INDIRECT(ADDRESS(ROW($G19),COLUMN(T19),1,1)))=$F19,SUMPRODUCT(INDIRECT(ADDRESS(ROW($G19),6-$F19,1,1)):INDIRECT(ADDRESS(ROW($G19),5,1,1)),INDIRECT(ADDRESS(ROW($G19),COLUMN(T19)-$F19+1,1,1)):INDIRECT(ADDRESS(ROW($G19),COLUMN(T19),1,1))),"")</f>
        <v>156.5822</v>
      </c>
      <c r="AR19" s="150">
        <f ca="1">IF(COUNT(INDIRECT(ADDRESS(ROW($G19),COLUMN(U19)-$F19+1,1,1)):INDIRECT(ADDRESS(ROW($G19),COLUMN(U19),1,1)))=$F19,SUMPRODUCT(INDIRECT(ADDRESS(ROW($G19),6-$F19,1,1)):INDIRECT(ADDRESS(ROW($G19),5,1,1)),INDIRECT(ADDRESS(ROW($G19),COLUMN(U19)-$F19+1,1,1)):INDIRECT(ADDRESS(ROW($G19),COLUMN(U19),1,1))),"")</f>
        <v>159.59345000000002</v>
      </c>
      <c r="AS19" s="150">
        <f ca="1">IF(COUNT(INDIRECT(ADDRESS(ROW($G19),COLUMN(V19)-$F19+1,1,1)):INDIRECT(ADDRESS(ROW($G19),COLUMN(V19),1,1)))=$F19,SUMPRODUCT(INDIRECT(ADDRESS(ROW($G19),6-$F19,1,1)):INDIRECT(ADDRESS(ROW($G19),5,1,1)),INDIRECT(ADDRESS(ROW($G19),COLUMN(V19)-$F19+1,1,1)):INDIRECT(ADDRESS(ROW($G19),COLUMN(V19),1,1))),"")</f>
        <v>144.87535</v>
      </c>
      <c r="AT19" s="150">
        <f ca="1">IF(COUNT(INDIRECT(ADDRESS(ROW($G19),COLUMN(W19)-$F19+1,1,1)):INDIRECT(ADDRESS(ROW($G19),COLUMN(W19),1,1)))=$F19,SUMPRODUCT(INDIRECT(ADDRESS(ROW($G19),6-$F19,1,1)):INDIRECT(ADDRESS(ROW($G19),5,1,1)),INDIRECT(ADDRESS(ROW($G19),COLUMN(W19)-$F19+1,1,1)):INDIRECT(ADDRESS(ROW($G19),COLUMN(W19),1,1))),"")</f>
        <v>136.9658</v>
      </c>
      <c r="AU19" s="150">
        <f ca="1">IF(COUNT(INDIRECT(ADDRESS(ROW($G19),COLUMN(X19)-$F19+1,1,1)):INDIRECT(ADDRESS(ROW($G19),COLUMN(X19),1,1)))=$F19,SUMPRODUCT(INDIRECT(ADDRESS(ROW($G19),6-$F19,1,1)):INDIRECT(ADDRESS(ROW($G19),5,1,1)),INDIRECT(ADDRESS(ROW($G19),COLUMN(X19)-$F19+1,1,1)):INDIRECT(ADDRESS(ROW($G19),COLUMN(X19),1,1))),"")</f>
        <v>165.76759999999999</v>
      </c>
      <c r="AV19" s="150">
        <f ca="1">IF(COUNT(INDIRECT(ADDRESS(ROW($G19),COLUMN(Y19)-$F19+1,1,1)):INDIRECT(ADDRESS(ROW($G19),COLUMN(Y19),1,1)))=$F19,SUMPRODUCT(INDIRECT(ADDRESS(ROW($G19),6-$F19,1,1)):INDIRECT(ADDRESS(ROW($G19),5,1,1)),INDIRECT(ADDRESS(ROW($G19),COLUMN(Y19)-$F19+1,1,1)):INDIRECT(ADDRESS(ROW($G19),COLUMN(Y19),1,1))),"")</f>
        <v>169.36349999999999</v>
      </c>
      <c r="AW19" s="150">
        <f ca="1">IF(COUNT(INDIRECT(ADDRESS(ROW($G19),COLUMN(Z19)-$F19+1,1,1)):INDIRECT(ADDRESS(ROW($G19),COLUMN(Z19),1,1)))=$F19,SUMPRODUCT(INDIRECT(ADDRESS(ROW($G19),6-$F19,1,1)):INDIRECT(ADDRESS(ROW($G19),5,1,1)),INDIRECT(ADDRESS(ROW($G19),COLUMN(Z19)-$F19+1,1,1)):INDIRECT(ADDRESS(ROW($G19),COLUMN(Z19),1,1))),"")</f>
        <v>163.12115</v>
      </c>
      <c r="AX19" s="150">
        <f ca="1">IF(COUNT(INDIRECT(ADDRESS(ROW($G19),COLUMN(AA19)-$F19+1,1,1)):INDIRECT(ADDRESS(ROW($G19),COLUMN(AA19),1,1)))=$F19,SUMPRODUCT(INDIRECT(ADDRESS(ROW($G19),6-$F19,1,1)):INDIRECT(ADDRESS(ROW($G19),5,1,1)),INDIRECT(ADDRESS(ROW($G19),COLUMN(AA19)-$F19+1,1,1)):INDIRECT(ADDRESS(ROW($G19),COLUMN(AA19),1,1))),"")</f>
        <v>149.66055</v>
      </c>
      <c r="AY19" s="150">
        <f ca="1">IF(COUNT(INDIRECT(ADDRESS(ROW($G19),COLUMN(AB19)-$F19+1,1,1)):INDIRECT(ADDRESS(ROW($G19),COLUMN(AB19),1,1)))=$F19,SUMPRODUCT(INDIRECT(ADDRESS(ROW($G19),6-$F19,1,1)):INDIRECT(ADDRESS(ROW($G19),5,1,1)),INDIRECT(ADDRESS(ROW($G19),COLUMN(AB19)-$F19+1,1,1)):INDIRECT(ADDRESS(ROW($G19),COLUMN(AB19),1,1))),"")</f>
        <v>159.25700000000001</v>
      </c>
      <c r="AZ19" s="150">
        <f ca="1">IF(COUNT(INDIRECT(ADDRESS(ROW($G19),COLUMN(AC19)-$F19+1,1,1)):INDIRECT(ADDRESS(ROW($G19),COLUMN(AC19),1,1)))=$F19,SUMPRODUCT(INDIRECT(ADDRESS(ROW($G19),6-$F19,1,1)):INDIRECT(ADDRESS(ROW($G19),5,1,1)),INDIRECT(ADDRESS(ROW($G19),COLUMN(AC19)-$F19+1,1,1)):INDIRECT(ADDRESS(ROW($G19),COLUMN(AC19),1,1))),"")</f>
        <v>142.1806</v>
      </c>
      <c r="BA19" s="148">
        <f ca="1">IF(COUNT(INDIRECT(ADDRESS(ROW($G19),COLUMN(AD19)-$F19+1,1,1)):INDIRECT(ADDRESS(ROW($G19),COLUMN(AD19),1,1)))=$F19,SUMPRODUCT(INDIRECT(ADDRESS(ROW($G19),6-$F19,1,1)):INDIRECT(ADDRESS(ROW($G19),5,1,1)),INDIRECT(ADDRESS(ROW($G19),COLUMN(AD19)-$F19+1,1,1)):INDIRECT(ADDRESS(ROW($G19),COLUMN(AD19),1,1))),"")</f>
        <v>134.58240000000001</v>
      </c>
      <c r="BB19" s="149">
        <f t="shared" ca="1" si="1"/>
        <v>134.58240000000001</v>
      </c>
      <c r="BC19" s="148">
        <f t="shared" ca="1" si="1"/>
        <v>134.58240000000001</v>
      </c>
      <c r="BD19" s="45" t="str">
        <f t="shared" si="2"/>
        <v/>
      </c>
      <c r="BE19" s="45" t="str">
        <f t="shared" si="2"/>
        <v/>
      </c>
      <c r="BF19" s="45" t="str">
        <f t="shared" si="2"/>
        <v/>
      </c>
      <c r="BG19" s="45" t="str">
        <f t="shared" si="2"/>
        <v/>
      </c>
      <c r="BH19" s="45" t="str">
        <f t="shared" si="2"/>
        <v/>
      </c>
      <c r="BI19" s="45">
        <f t="shared" ca="1" si="2"/>
        <v>506.96350122250004</v>
      </c>
      <c r="BJ19" s="45">
        <f t="shared" ca="1" si="2"/>
        <v>30.470400000000112</v>
      </c>
      <c r="BK19" s="45">
        <f t="shared" ca="1" si="2"/>
        <v>1087.1165151025011</v>
      </c>
      <c r="BL19" s="45">
        <f t="shared" ca="1" si="2"/>
        <v>1059.7401283225004</v>
      </c>
      <c r="BM19" s="45">
        <f t="shared" ca="1" si="2"/>
        <v>0.17455683999999977</v>
      </c>
      <c r="BN19" s="45">
        <f t="shared" ca="1" si="2"/>
        <v>1087.1165151025011</v>
      </c>
      <c r="BO19" s="45">
        <f t="shared" ca="1" si="2"/>
        <v>1059.7401283225004</v>
      </c>
      <c r="BP19" s="45">
        <f t="shared" ca="1" si="2"/>
        <v>0.17455683999999977</v>
      </c>
      <c r="BQ19" s="45">
        <f t="shared" ca="1" si="2"/>
        <v>1087.1165151025011</v>
      </c>
      <c r="BR19" s="45">
        <f t="shared" ca="1" si="2"/>
        <v>271.83271002250069</v>
      </c>
      <c r="BS19" s="45">
        <f t="shared" ref="BS19:BY50" ca="1" si="8">IF(AT19="","",(AT19-X19)^2)</f>
        <v>4371.8808480399975</v>
      </c>
      <c r="BT19" s="45">
        <f t="shared" ca="1" si="3"/>
        <v>135.98824996000033</v>
      </c>
      <c r="BU19" s="45">
        <f t="shared" ca="1" si="3"/>
        <v>152.85613224999969</v>
      </c>
      <c r="BV19" s="45">
        <f t="shared" ca="1" si="3"/>
        <v>1332.1879507225001</v>
      </c>
      <c r="BW19" s="45">
        <f t="shared" ca="1" si="3"/>
        <v>235.29872630249997</v>
      </c>
      <c r="BX19" s="45">
        <f t="shared" ca="1" si="3"/>
        <v>1445.5964410000001</v>
      </c>
      <c r="BY19" s="45">
        <f t="shared" ca="1" si="3"/>
        <v>203.84986176000018</v>
      </c>
      <c r="BZ19" s="92">
        <f t="shared" ca="1" si="4"/>
        <v>28.766917004365094</v>
      </c>
      <c r="CA19" s="47">
        <f t="shared" ca="1" si="5"/>
        <v>0.22491198020660264</v>
      </c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93"/>
      <c r="CY19" s="93"/>
      <c r="CZ19" s="93"/>
      <c r="DA19" s="60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60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25" t="str">
        <f t="shared" si="6"/>
        <v>weighted average7</v>
      </c>
    </row>
    <row r="20" spans="1:171">
      <c r="A20" s="122">
        <v>0.1</v>
      </c>
      <c r="B20" s="123">
        <v>0.1</v>
      </c>
      <c r="C20" s="123">
        <v>0.15</v>
      </c>
      <c r="D20" s="123">
        <v>0.25</v>
      </c>
      <c r="E20" s="123">
        <v>0.4</v>
      </c>
      <c r="F20" s="124">
        <f t="shared" si="7"/>
        <v>5</v>
      </c>
      <c r="G20" s="39" t="s">
        <v>41</v>
      </c>
      <c r="H20" s="40">
        <v>8</v>
      </c>
      <c r="I20" s="41">
        <v>6.597999999999999</v>
      </c>
      <c r="J20" s="41">
        <v>14.509</v>
      </c>
      <c r="K20" s="41">
        <v>34</v>
      </c>
      <c r="L20" s="41">
        <v>36.616999999999976</v>
      </c>
      <c r="M20" s="41">
        <v>48.298000000000044</v>
      </c>
      <c r="N20" s="41">
        <v>50.913000000000054</v>
      </c>
      <c r="O20" s="41">
        <v>169.95999999999992</v>
      </c>
      <c r="P20" s="41">
        <v>158.32199999999997</v>
      </c>
      <c r="Q20" s="41">
        <v>169.77099999999999</v>
      </c>
      <c r="R20" s="41">
        <v>180</v>
      </c>
      <c r="S20" s="41">
        <v>127</v>
      </c>
      <c r="T20" s="41">
        <v>143.11099999999993</v>
      </c>
      <c r="U20" s="41">
        <v>167</v>
      </c>
      <c r="V20" s="41">
        <v>150</v>
      </c>
      <c r="W20" s="41">
        <v>199.79</v>
      </c>
      <c r="X20" s="41">
        <v>203.78579999999999</v>
      </c>
      <c r="Y20" s="41">
        <v>216.01294799999999</v>
      </c>
      <c r="Z20" s="41">
        <v>233.29398384000001</v>
      </c>
      <c r="AA20" s="41">
        <v>235.6269236784</v>
      </c>
      <c r="AB20" s="41">
        <v>245.05200062553601</v>
      </c>
      <c r="AC20" s="41">
        <v>259.75512066306817</v>
      </c>
      <c r="AD20" s="41">
        <v>283.13308152274431</v>
      </c>
      <c r="AE20" s="150"/>
      <c r="AF20" s="150"/>
      <c r="AG20" s="150"/>
      <c r="AH20" s="150"/>
      <c r="AI20" s="150"/>
      <c r="AJ20" s="150">
        <f ca="1">IF(COUNT(INDIRECT(ADDRESS(ROW($G20),COLUMN(M20)-$F20+1,1,1)):INDIRECT(ADDRESS(ROW($G20),COLUMN(M20),1,1)))=$F20,SUMPRODUCT(INDIRECT(ADDRESS(ROW($G20),6-$F20,1,1)):INDIRECT(ADDRESS(ROW($G20),5,1,1)),INDIRECT(ADDRESS(ROW($G20),COLUMN(M20)-$F20+1,1,1)):INDIRECT(ADDRESS(ROW($G20),COLUMN(M20),1,1))),"")</f>
        <v>35.684150000000017</v>
      </c>
      <c r="AK20" s="150">
        <f ca="1">IF(COUNT(INDIRECT(ADDRESS(ROW($G20),COLUMN(N20)-$F20+1,1,1)):INDIRECT(ADDRESS(ROW($G20),COLUMN(N20),1,1)))=$F20,SUMPRODUCT(INDIRECT(ADDRESS(ROW($G20),6-$F20,1,1)):INDIRECT(ADDRESS(ROW($G20),5,1,1)),INDIRECT(ADDRESS(ROW($G20),COLUMN(N20)-$F20+1,1,1)):INDIRECT(ADDRESS(ROW($G20),COLUMN(N20),1,1))),"")</f>
        <v>42.783150000000035</v>
      </c>
      <c r="AL20" s="150">
        <f ca="1">IF(COUNT(INDIRECT(ADDRESS(ROW($G20),COLUMN(O20)-$F20+1,1,1)):INDIRECT(ADDRESS(ROW($G20),COLUMN(O20),1,1)))=$F20,SUMPRODUCT(INDIRECT(ADDRESS(ROW($G20),6-$F20,1,1)):INDIRECT(ADDRESS(ROW($G20),5,1,1)),INDIRECT(ADDRESS(ROW($G20),COLUMN(O20)-$F20+1,1,1)):INDIRECT(ADDRESS(ROW($G20),COLUMN(O20),1,1))),"")</f>
        <v>95.01864999999998</v>
      </c>
      <c r="AM20" s="150">
        <f ca="1">IF(COUNT(INDIRECT(ADDRESS(ROW($G20),COLUMN(P20)-$F20+1,1,1)):INDIRECT(ADDRESS(ROW($G20),COLUMN(P20),1,1)))=$F20,SUMPRODUCT(INDIRECT(ADDRESS(ROW($G20),6-$F20,1,1)):INDIRECT(ADDRESS(ROW($G20),5,1,1)),INDIRECT(ADDRESS(ROW($G20),COLUMN(P20)-$F20+1,1,1)):INDIRECT(ADDRESS(ROW($G20),COLUMN(P20),1,1))),"")</f>
        <v>121.94724999999998</v>
      </c>
      <c r="AN20" s="150">
        <f ca="1">IF(COUNT(INDIRECT(ADDRESS(ROW($G20),COLUMN(Q20)-$F20+1,1,1)):INDIRECT(ADDRESS(ROW($G20),COLUMN(Q20),1,1)))=$F20,SUMPRODUCT(INDIRECT(ADDRESS(ROW($G20),6-$F20,1,1)):INDIRECT(ADDRESS(ROW($G20),5,1,1)),INDIRECT(ADDRESS(ROW($G20),COLUMN(Q20)-$F20+1,1,1)):INDIRECT(ADDRESS(ROW($G20),COLUMN(Q20),1,1))),"")</f>
        <v>142.904</v>
      </c>
      <c r="AO20" s="150">
        <f ca="1">IF(COUNT(INDIRECT(ADDRESS(ROW($G20),COLUMN(R20)-$F20+1,1,1)):INDIRECT(ADDRESS(ROW($G20),COLUMN(R20),1,1)))=$F20,SUMPRODUCT(INDIRECT(ADDRESS(ROW($G20),6-$F20,1,1)):INDIRECT(ADDRESS(ROW($G20),5,1,1)),INDIRECT(ADDRESS(ROW($G20),COLUMN(R20)-$F20+1,1,1)):INDIRECT(ADDRESS(ROW($G20),COLUMN(R20),1,1))),"")</f>
        <v>160.27834999999999</v>
      </c>
      <c r="AP20" s="150">
        <f ca="1">IF(COUNT(INDIRECT(ADDRESS(ROW($G20),COLUMN(S20)-$F20+1,1,1)):INDIRECT(ADDRESS(ROW($G20),COLUMN(S20),1,1)))=$F20,SUMPRODUCT(INDIRECT(ADDRESS(ROW($G20),6-$F20,1,1)):INDIRECT(ADDRESS(ROW($G20),5,1,1)),INDIRECT(ADDRESS(ROW($G20),COLUMN(S20)-$F20+1,1,1)):INDIRECT(ADDRESS(ROW($G20),COLUMN(S20),1,1))),"")</f>
        <v>154.09385</v>
      </c>
      <c r="AQ20" s="150">
        <f ca="1">IF(COUNT(INDIRECT(ADDRESS(ROW($G20),COLUMN(T20)-$F20+1,1,1)):INDIRECT(ADDRESS(ROW($G20),COLUMN(T20),1,1)))=$F20,SUMPRODUCT(INDIRECT(ADDRESS(ROW($G20),6-$F20,1,1)):INDIRECT(ADDRESS(ROW($G20),5,1,1)),INDIRECT(ADDRESS(ROW($G20),COLUMN(T20)-$F20+1,1,1)):INDIRECT(ADDRESS(ROW($G20),COLUMN(T20),1,1))),"")</f>
        <v>148.80369999999999</v>
      </c>
      <c r="AR20" s="150">
        <f ca="1">IF(COUNT(INDIRECT(ADDRESS(ROW($G20),COLUMN(U20)-$F20+1,1,1)):INDIRECT(ADDRESS(ROW($G20),COLUMN(U20),1,1)))=$F20,SUMPRODUCT(INDIRECT(ADDRESS(ROW($G20),6-$F20,1,1)):INDIRECT(ADDRESS(ROW($G20),5,1,1)),INDIRECT(ADDRESS(ROW($G20),COLUMN(U20)-$F20+1,1,1)):INDIRECT(ADDRESS(ROW($G20),COLUMN(U20),1,1))),"")</f>
        <v>156.60485</v>
      </c>
      <c r="AS20" s="150">
        <f ca="1">IF(COUNT(INDIRECT(ADDRESS(ROW($G20),COLUMN(V20)-$F20+1,1,1)):INDIRECT(ADDRESS(ROW($G20),COLUMN(V20),1,1)))=$F20,SUMPRODUCT(INDIRECT(ADDRESS(ROW($G20),6-$F20,1,1)):INDIRECT(ADDRESS(ROW($G20),5,1,1)),INDIRECT(ADDRESS(ROW($G20),COLUMN(V20)-$F20+1,1,1)):INDIRECT(ADDRESS(ROW($G20),COLUMN(V20),1,1))),"")</f>
        <v>153.91665</v>
      </c>
      <c r="AT20" s="150">
        <f ca="1">IF(COUNT(INDIRECT(ADDRESS(ROW($G20),COLUMN(W20)-$F20+1,1,1)):INDIRECT(ADDRESS(ROW($G20),COLUMN(W20),1,1)))=$F20,SUMPRODUCT(INDIRECT(ADDRESS(ROW($G20),6-$F20,1,1)):INDIRECT(ADDRESS(ROW($G20),5,1,1)),INDIRECT(ADDRESS(ROW($G20),COLUMN(W20)-$F20+1,1,1)):INDIRECT(ADDRESS(ROW($G20),COLUMN(W20),1,1))),"")</f>
        <v>169.47710000000001</v>
      </c>
      <c r="AU20" s="150">
        <f ca="1">IF(COUNT(INDIRECT(ADDRESS(ROW($G20),COLUMN(X20)-$F20+1,1,1)):INDIRECT(ADDRESS(ROW($G20),COLUMN(X20),1,1)))=$F20,SUMPRODUCT(INDIRECT(ADDRESS(ROW($G20),6-$F20,1,1)):INDIRECT(ADDRESS(ROW($G20),5,1,1)),INDIRECT(ADDRESS(ROW($G20),COLUMN(X20)-$F20+1,1,1)):INDIRECT(ADDRESS(ROW($G20),COLUMN(X20),1,1))),"")</f>
        <v>184.97291999999999</v>
      </c>
      <c r="AV20" s="150">
        <f ca="1">IF(COUNT(INDIRECT(ADDRESS(ROW($G20),COLUMN(Y20)-$F20+1,1,1)):INDIRECT(ADDRESS(ROW($G20),COLUMN(Y20),1,1)))=$F20,SUMPRODUCT(INDIRECT(ADDRESS(ROW($G20),6-$F20,1,1)):INDIRECT(ADDRESS(ROW($G20),5,1,1)),INDIRECT(ADDRESS(ROW($G20),COLUMN(Y20)-$F20+1,1,1)):INDIRECT(ADDRESS(ROW($G20),COLUMN(Y20),1,1))),"")</f>
        <v>199.02012919999999</v>
      </c>
      <c r="AW20" s="150">
        <f ca="1">IF(COUNT(INDIRECT(ADDRESS(ROW($G20),COLUMN(Z20)-$F20+1,1,1)):INDIRECT(ADDRESS(ROW($G20),COLUMN(Z20),1,1)))=$F20,SUMPRODUCT(INDIRECT(ADDRESS(ROW($G20),6-$F20,1,1)):INDIRECT(ADDRESS(ROW($G20),5,1,1)),INDIRECT(ADDRESS(ROW($G20),COLUMN(Z20)-$F20+1,1,1)):INDIRECT(ADDRESS(ROW($G20),COLUMN(Z20),1,1))),"")</f>
        <v>212.867700536</v>
      </c>
      <c r="AX20" s="150">
        <f ca="1">IF(COUNT(INDIRECT(ADDRESS(ROW($G20),COLUMN(AA20)-$F20+1,1,1)):INDIRECT(ADDRESS(ROW($G20),COLUMN(AA20),1,1)))=$F20,SUMPRODUCT(INDIRECT(ADDRESS(ROW($G20),6-$F20,1,1)):INDIRECT(ADDRESS(ROW($G20),5,1,1)),INDIRECT(ADDRESS(ROW($G20),COLUMN(AA20)-$F20+1,1,1)):INDIRECT(ADDRESS(ROW($G20),COLUMN(AA20),1,1))),"")</f>
        <v>225.33378763136</v>
      </c>
      <c r="AY20" s="150">
        <f ca="1">IF(COUNT(INDIRECT(ADDRESS(ROW($G20),COLUMN(AB20)-$F20+1,1,1)):INDIRECT(ADDRESS(ROW($G20),COLUMN(AB20),1,1)))=$F20,SUMPRODUCT(INDIRECT(ADDRESS(ROW($G20),6-$F20,1,1)):INDIRECT(ADDRESS(ROW($G20),5,1,1)),INDIRECT(ADDRESS(ROW($G20),COLUMN(AB20)-$F20+1,1,1)):INDIRECT(ADDRESS(ROW($G20),COLUMN(AB20),1,1))),"")</f>
        <v>233.90150354581442</v>
      </c>
      <c r="AZ20" s="150">
        <f ca="1">IF(COUNT(INDIRECT(ADDRESS(ROW($G20),COLUMN(AC20)-$F20+1,1,1)):INDIRECT(ADDRESS(ROW($G20),COLUMN(AC20),1,1)))=$F20,SUMPRODUCT(INDIRECT(ADDRESS(ROW($G20),6-$F20,1,1)):INDIRECT(ADDRESS(ROW($G20),5,1,1)),INDIRECT(ADDRESS(ROW($G20),COLUMN(AC20)-$F20+1,1,1)):INDIRECT(ADDRESS(ROW($G20),COLUMN(AC20),1,1))),"")</f>
        <v>245.4397801573713</v>
      </c>
      <c r="BA20" s="148">
        <f ca="1">IF(COUNT(INDIRECT(ADDRESS(ROW($G20),COLUMN(AD20)-$F20+1,1,1)):INDIRECT(ADDRESS(ROW($G20),COLUMN(AD20),1,1)))=$F20,SUMPRODUCT(INDIRECT(ADDRESS(ROW($G20),6-$F20,1,1)):INDIRECT(ADDRESS(ROW($G20),5,1,1)),INDIRECT(ADDRESS(ROW($G20),COLUMN(AD20)-$F20+1,1,1)):INDIRECT(ADDRESS(ROW($G20),COLUMN(AD20),1,1))),"")</f>
        <v>261.84190362053516</v>
      </c>
      <c r="BB20" s="149">
        <f t="shared" ca="1" si="1"/>
        <v>261.84190362053516</v>
      </c>
      <c r="BC20" s="148">
        <f t="shared" ca="1" si="1"/>
        <v>261.84190362053516</v>
      </c>
      <c r="BD20" s="45" t="str">
        <f t="shared" ref="BD20:BR36" si="9">IF(AE20="","",(AE20-I20)^2)</f>
        <v/>
      </c>
      <c r="BE20" s="45" t="str">
        <f t="shared" si="9"/>
        <v/>
      </c>
      <c r="BF20" s="45" t="str">
        <f t="shared" si="9"/>
        <v/>
      </c>
      <c r="BG20" s="45" t="str">
        <f t="shared" si="9"/>
        <v/>
      </c>
      <c r="BH20" s="45" t="str">
        <f t="shared" si="9"/>
        <v/>
      </c>
      <c r="BI20" s="45">
        <f t="shared" ca="1" si="9"/>
        <v>231.91787232250113</v>
      </c>
      <c r="BJ20" s="45">
        <f t="shared" ca="1" si="9"/>
        <v>16173.951175922472</v>
      </c>
      <c r="BK20" s="45">
        <f t="shared" ca="1" si="9"/>
        <v>4007.3141212224991</v>
      </c>
      <c r="BL20" s="45">
        <f t="shared" ca="1" si="9"/>
        <v>2287.1110640625002</v>
      </c>
      <c r="BM20" s="45">
        <f t="shared" ca="1" si="9"/>
        <v>1376.1132160000002</v>
      </c>
      <c r="BN20" s="45">
        <f t="shared" ca="1" si="9"/>
        <v>1107.4485787224992</v>
      </c>
      <c r="BO20" s="45">
        <f t="shared" ca="1" si="9"/>
        <v>120.62299412250154</v>
      </c>
      <c r="BP20" s="45">
        <f t="shared" ca="1" si="9"/>
        <v>331.10533369000029</v>
      </c>
      <c r="BQ20" s="45">
        <f t="shared" ca="1" si="9"/>
        <v>43.624043522499989</v>
      </c>
      <c r="BR20" s="45">
        <f t="shared" ca="1" si="9"/>
        <v>2104.3642402224987</v>
      </c>
      <c r="BS20" s="45">
        <f t="shared" ca="1" si="8"/>
        <v>1177.0868956899992</v>
      </c>
      <c r="BT20" s="45">
        <f t="shared" ca="1" si="3"/>
        <v>963.48333824078441</v>
      </c>
      <c r="BU20" s="45">
        <f t="shared" ca="1" si="3"/>
        <v>1174.6971118838512</v>
      </c>
      <c r="BV20" s="45">
        <f t="shared" ca="1" si="3"/>
        <v>517.98223804555585</v>
      </c>
      <c r="BW20" s="45">
        <f t="shared" ca="1" si="3"/>
        <v>388.8079236836918</v>
      </c>
      <c r="BX20" s="45">
        <f t="shared" ca="1" si="3"/>
        <v>668.40951804555596</v>
      </c>
      <c r="BY20" s="45">
        <f t="shared" ca="1" si="3"/>
        <v>1420.7849678208304</v>
      </c>
      <c r="BZ20" s="92">
        <f t="shared" ca="1" si="4"/>
        <v>44.783679165530721</v>
      </c>
      <c r="CA20" s="47">
        <f t="shared" ca="1" si="5"/>
        <v>0.15817183539512747</v>
      </c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93"/>
      <c r="CY20" s="93"/>
      <c r="CZ20" s="93"/>
      <c r="DA20" s="60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60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25" t="str">
        <f t="shared" si="6"/>
        <v>weighted average8</v>
      </c>
    </row>
    <row r="21" spans="1:171" ht="13.5" thickBot="1">
      <c r="A21" s="125">
        <v>0.1</v>
      </c>
      <c r="B21" s="126">
        <v>0.1</v>
      </c>
      <c r="C21" s="126">
        <v>0.15</v>
      </c>
      <c r="D21" s="126">
        <v>0.25</v>
      </c>
      <c r="E21" s="126">
        <v>0.4</v>
      </c>
      <c r="F21" s="127">
        <f t="shared" si="7"/>
        <v>5</v>
      </c>
      <c r="G21" s="112" t="s">
        <v>41</v>
      </c>
      <c r="H21" s="96">
        <v>9</v>
      </c>
      <c r="I21" s="95">
        <v>798</v>
      </c>
      <c r="J21" s="95">
        <v>823</v>
      </c>
      <c r="K21" s="95">
        <v>839</v>
      </c>
      <c r="L21" s="41">
        <v>889.34</v>
      </c>
      <c r="M21" s="41">
        <v>969.38060000000007</v>
      </c>
      <c r="N21" s="41">
        <v>1017.8496300000002</v>
      </c>
      <c r="O21" s="41">
        <v>1109.4560967000002</v>
      </c>
      <c r="P21" s="41">
        <v>1176.0234625020003</v>
      </c>
      <c r="Q21" s="41">
        <v>1223.0644010020803</v>
      </c>
      <c r="R21" s="41">
        <v>1345.3708411022885</v>
      </c>
      <c r="S21" s="41">
        <v>1426.093091568426</v>
      </c>
      <c r="T21" s="41">
        <v>1483.1368152311632</v>
      </c>
      <c r="U21" s="41">
        <v>1631.4504967542796</v>
      </c>
      <c r="V21" s="41">
        <v>1761.966536494622</v>
      </c>
      <c r="W21" s="41">
        <v>1902.9238594141918</v>
      </c>
      <c r="X21" s="41">
        <v>1940.9823366024757</v>
      </c>
      <c r="Y21" s="41">
        <v>2115.6707468966988</v>
      </c>
      <c r="Z21" s="41">
        <v>2200.297576772567</v>
      </c>
      <c r="AA21" s="41">
        <v>2420.3273344498239</v>
      </c>
      <c r="AB21" s="41">
        <v>2468.7338811388204</v>
      </c>
      <c r="AC21" s="41">
        <v>2641.5452528185378</v>
      </c>
      <c r="AD21" s="41">
        <v>2773.6225154594649</v>
      </c>
      <c r="AE21" s="150"/>
      <c r="AF21" s="151"/>
      <c r="AG21" s="151"/>
      <c r="AH21" s="151"/>
      <c r="AI21" s="151"/>
      <c r="AJ21" s="150">
        <f ca="1">IF(COUNT(INDIRECT(ADDRESS(ROW($G21),COLUMN(M21)-$F21+1,1,1)):INDIRECT(ADDRESS(ROW($G21),COLUMN(M21),1,1)))=$F21,SUMPRODUCT(INDIRECT(ADDRESS(ROW($G21),6-$F21,1,1)):INDIRECT(ADDRESS(ROW($G21),5,1,1)),INDIRECT(ADDRESS(ROW($G21),COLUMN(M21)-$F21+1,1,1)):INDIRECT(ADDRESS(ROW($G21),COLUMN(M21),1,1))),"")</f>
        <v>898.03724000000011</v>
      </c>
      <c r="AK21" s="150">
        <f ca="1">IF(COUNT(INDIRECT(ADDRESS(ROW($G21),COLUMN(N21)-$F21+1,1,1)):INDIRECT(ADDRESS(ROW($G21),COLUMN(N21),1,1)))=$F21,SUMPRODUCT(INDIRECT(ADDRESS(ROW($G21),6-$F21,1,1)):INDIRECT(ADDRESS(ROW($G21),5,1,1)),INDIRECT(ADDRESS(ROW($G21),COLUMN(N21)-$F21+1,1,1)):INDIRECT(ADDRESS(ROW($G21),COLUMN(N21),1,1))),"")</f>
        <v>949.08600200000001</v>
      </c>
      <c r="AL21" s="150">
        <f ca="1">IF(COUNT(INDIRECT(ADDRESS(ROW($G21),COLUMN(O21)-$F21+1,1,1)):INDIRECT(ADDRESS(ROW($G21),COLUMN(O21),1,1)))=$F21,SUMPRODUCT(INDIRECT(ADDRESS(ROW($G21),6-$F21,1,1)):INDIRECT(ADDRESS(ROW($G21),5,1,1)),INDIRECT(ADDRESS(ROW($G21),COLUMN(O21)-$F21+1,1,1)):INDIRECT(ADDRESS(ROW($G21),COLUMN(O21),1,1))),"")</f>
        <v>1016.4859361800002</v>
      </c>
      <c r="AM21" s="150">
        <f ca="1">IF(COUNT(INDIRECT(ADDRESS(ROW($G21),COLUMN(P21)-$F21+1,1,1)):INDIRECT(ADDRESS(ROW($G21),COLUMN(P21),1,1)))=$F21,SUMPRODUCT(INDIRECT(ADDRESS(ROW($G21),6-$F21,1,1)):INDIRECT(ADDRESS(ROW($G21),5,1,1)),INDIRECT(ADDRESS(ROW($G21),COLUMN(P21)-$F21+1,1,1)):INDIRECT(ADDRESS(ROW($G21),COLUMN(P21),1,1))),"")</f>
        <v>1086.3229136758002</v>
      </c>
      <c r="AN21" s="150">
        <f ca="1">IF(COUNT(INDIRECT(ADDRESS(ROW($G21),COLUMN(Q21)-$F21+1,1,1)):INDIRECT(ADDRESS(ROW($G21),COLUMN(Q21),1,1)))=$F21,SUMPRODUCT(INDIRECT(ADDRESS(ROW($G21),6-$F21,1,1)):INDIRECT(ADDRESS(ROW($G21),5,1,1)),INDIRECT(ADDRESS(ROW($G21),COLUMN(Q21)-$F21+1,1,1)):INDIRECT(ADDRESS(ROW($G21),COLUMN(Q21),1,1))),"")</f>
        <v>1148.3730635313323</v>
      </c>
      <c r="AO21" s="150">
        <f ca="1">IF(COUNT(INDIRECT(ADDRESS(ROW($G21),COLUMN(R21)-$F21+1,1,1)):INDIRECT(ADDRESS(ROW($G21),COLUMN(R21),1,1)))=$F21,SUMPRODUCT(INDIRECT(ADDRESS(ROW($G21),6-$F21,1,1)):INDIRECT(ADDRESS(ROW($G21),5,1,1)),INDIRECT(ADDRESS(ROW($G21),COLUMN(R21)-$F21+1,1,1)):INDIRECT(ADDRESS(ROW($G21),COLUMN(R21),1,1))),"")</f>
        <v>1233.0485287367355</v>
      </c>
      <c r="AP21" s="150">
        <f ca="1">IF(COUNT(INDIRECT(ADDRESS(ROW($G21),COLUMN(S21)-$F21+1,1,1)):INDIRECT(ADDRESS(ROW($G21),COLUMN(S21),1,1)))=$F21,SUMPRODUCT(INDIRECT(ADDRESS(ROW($G21),6-$F21,1,1)):INDIRECT(ADDRESS(ROW($G21),5,1,1)),INDIRECT(ADDRESS(ROW($G21),COLUMN(S21)-$F21+1,1,1)):INDIRECT(ADDRESS(ROW($G21),COLUMN(S21),1,1))),"")</f>
        <v>1318.7875629734547</v>
      </c>
      <c r="AQ21" s="150">
        <f ca="1">IF(COUNT(INDIRECT(ADDRESS(ROW($G21),COLUMN(T21)-$F21+1,1,1)):INDIRECT(ADDRESS(ROW($G21),COLUMN(T21),1,1)))=$F21,SUMPRODUCT(INDIRECT(ADDRESS(ROW($G21),6-$F21,1,1)):INDIRECT(ADDRESS(ROW($G21),5,1,1)),INDIRECT(ADDRESS(ROW($G21),COLUMN(T21)-$F21+1,1,1)):INDIRECT(ADDRESS(ROW($G21),COLUMN(T21),1,1))),"")</f>
        <v>1391.4924115003232</v>
      </c>
      <c r="AR21" s="150">
        <f ca="1">IF(COUNT(INDIRECT(ADDRESS(ROW($G21),COLUMN(U21)-$F21+1,1,1)):INDIRECT(ADDRESS(ROW($G21),COLUMN(U21),1,1)))=$F21,SUMPRODUCT(INDIRECT(ADDRESS(ROW($G21),6-$F21,1,1)):INDIRECT(ADDRESS(ROW($G21),5,1,1)),INDIRECT(ADDRESS(ROW($G21),COLUMN(U21)-$F21+1,1,1)):INDIRECT(ADDRESS(ROW($G21),COLUMN(U21),1,1))),"")</f>
        <v>1494.1218904552034</v>
      </c>
      <c r="AS21" s="150">
        <f ca="1">IF(COUNT(INDIRECT(ADDRESS(ROW($G21),COLUMN(V21)-$F21+1,1,1)):INDIRECT(ADDRESS(ROW($G21),COLUMN(V21),1,1)))=$F21,SUMPRODUCT(INDIRECT(ADDRESS(ROW($G21),6-$F21,1,1)):INDIRECT(ADDRESS(ROW($G21),5,1,1)),INDIRECT(ADDRESS(ROW($G21),COLUMN(V21)-$F21+1,1,1)):INDIRECT(ADDRESS(ROW($G21),COLUMN(V21),1,1))),"")</f>
        <v>1612.2661543381646</v>
      </c>
      <c r="AT21" s="150">
        <f ca="1">IF(COUNT(INDIRECT(ADDRESS(ROW($G21),COLUMN(W21)-$F21+1,1,1)):INDIRECT(ADDRESS(ROW($G21),COLUMN(W21),1,1)))=$F21,SUMPRODUCT(INDIRECT(ADDRESS(ROW($G21),6-$F21,1,1)):INDIRECT(ADDRESS(ROW($G21),5,1,1)),INDIRECT(ADDRESS(ROW($G21),COLUMN(W21)-$F21+1,1,1)):INDIRECT(ADDRESS(ROW($G21),COLUMN(W21),1,1))),"")</f>
        <v>1737.3017430824332</v>
      </c>
      <c r="AU21" s="150">
        <f ca="1">IF(COUNT(INDIRECT(ADDRESS(ROW($G21),COLUMN(X21)-$F21+1,1,1)):INDIRECT(ADDRESS(ROW($G21),COLUMN(X21),1,1)))=$F21,SUMPRODUCT(INDIRECT(ADDRESS(ROW($G21),6-$F21,1,1)):INDIRECT(ADDRESS(ROW($G21),5,1,1)),INDIRECT(ADDRESS(ROW($G21),COLUMN(X21)-$F21+1,1,1)):INDIRECT(ADDRESS(ROW($G21),COLUMN(X21),1,1))),"")</f>
        <v>1827.877611167276</v>
      </c>
      <c r="AV21" s="150">
        <f ca="1">IF(COUNT(INDIRECT(ADDRESS(ROW($G21),COLUMN(Y21)-$F21+1,1,1)):INDIRECT(ADDRESS(ROW($G21),COLUMN(Y21),1,1)))=$F21,SUMPRODUCT(INDIRECT(ADDRESS(ROW($G21),6-$F21,1,1)):INDIRECT(ADDRESS(ROW($G21),5,1,1)),INDIRECT(ADDRESS(ROW($G21),COLUMN(Y21)-$F21+1,1,1)):INDIRECT(ADDRESS(ROW($G21),COLUMN(Y21),1,1))),"")</f>
        <v>1956.2941651463175</v>
      </c>
      <c r="AW21" s="150">
        <f ca="1">IF(COUNT(INDIRECT(ADDRESS(ROW($G21),COLUMN(Z21)-$F21+1,1,1)):INDIRECT(ADDRESS(ROW($G21),COLUMN(Z21),1,1)))=$F21,SUMPRODUCT(INDIRECT(ADDRESS(ROW($G21),6-$F21,1,1)):INDIRECT(ADDRESS(ROW($G21),5,1,1)),INDIRECT(ADDRESS(ROW($G21),COLUMN(Z21)-$F21+1,1,1)):INDIRECT(ADDRESS(ROW($G21),COLUMN(Z21),1,1))),"")</f>
        <v>2066.6731075144544</v>
      </c>
      <c r="AX21" s="150">
        <f ca="1">IF(COUNT(INDIRECT(ADDRESS(ROW($G21),COLUMN(AA21)-$F21+1,1,1)):INDIRECT(ADDRESS(ROW($G21),COLUMN(AA21),1,1)))=$F21,SUMPRODUCT(INDIRECT(ADDRESS(ROW($G21),6-$F21,1,1)):INDIRECT(ADDRESS(ROW($G21),5,1,1)),INDIRECT(ADDRESS(ROW($G21),COLUMN(AA21)-$F21+1,1,1)):INDIRECT(ADDRESS(ROW($G21),COLUMN(AA21),1,1))),"")</f>
        <v>2219.9465596092432</v>
      </c>
      <c r="AY21" s="150">
        <f ca="1">IF(COUNT(INDIRECT(ADDRESS(ROW($G21),COLUMN(AB21)-$F21+1,1,1)):INDIRECT(ADDRESS(ROW($G21),COLUMN(AB21),1,1)))=$F21,SUMPRODUCT(INDIRECT(ADDRESS(ROW($G21),6-$F21,1,1)):INDIRECT(ADDRESS(ROW($G21),5,1,1)),INDIRECT(ADDRESS(ROW($G21),COLUMN(AB21)-$F21+1,1,1)):INDIRECT(ADDRESS(ROW($G21),COLUMN(AB21),1,1))),"")</f>
        <v>2328.2853309337866</v>
      </c>
      <c r="AZ21" s="150">
        <f ca="1">IF(COUNT(INDIRECT(ADDRESS(ROW($G21),COLUMN(AC21)-$F21+1,1,1)):INDIRECT(ADDRESS(ROW($G21),COLUMN(AC21),1,1)))=$F21,SUMPRODUCT(INDIRECT(ADDRESS(ROW($G21),6-$F21,1,1)):INDIRECT(ADDRESS(ROW($G21),5,1,1)),INDIRECT(ADDRESS(ROW($G21),COLUMN(AC21)-$F21+1,1,1)):INDIRECT(ADDRESS(ROW($G21),COLUMN(AC21),1,1))),"")</f>
        <v>2468.4475039465206</v>
      </c>
      <c r="BA21" s="148">
        <f ca="1">IF(COUNT(INDIRECT(ADDRESS(ROW($G21),COLUMN(AD21)-$F21+1,1,1)):INDIRECT(ADDRESS(ROW($G21),COLUMN(AD21),1,1)))=$F21,SUMPRODUCT(INDIRECT(ADDRESS(ROW($G21),6-$F21,1,1)):INDIRECT(ADDRESS(ROW($G21),5,1,1)),INDIRECT(ADDRESS(ROW($G21),COLUMN(AD21)-$F21+1,1,1)):INDIRECT(ADDRESS(ROW($G21),COLUMN(AD21),1,1))),"")</f>
        <v>2602.2078926814825</v>
      </c>
      <c r="BB21" s="149">
        <f t="shared" ca="1" si="1"/>
        <v>2602.2078926814825</v>
      </c>
      <c r="BC21" s="148">
        <f t="shared" ca="1" si="1"/>
        <v>2602.2078926814825</v>
      </c>
      <c r="BD21" s="45" t="str">
        <f t="shared" si="9"/>
        <v/>
      </c>
      <c r="BE21" s="45" t="str">
        <f t="shared" si="9"/>
        <v/>
      </c>
      <c r="BF21" s="45" t="str">
        <f t="shared" si="9"/>
        <v/>
      </c>
      <c r="BG21" s="45" t="str">
        <f t="shared" si="9"/>
        <v/>
      </c>
      <c r="BH21" s="45" t="str">
        <f t="shared" si="9"/>
        <v/>
      </c>
      <c r="BI21" s="45">
        <f t="shared" ca="1" si="9"/>
        <v>14355.008797512111</v>
      </c>
      <c r="BJ21" s="45">
        <f t="shared" ca="1" si="9"/>
        <v>25718.567274087036</v>
      </c>
      <c r="BK21" s="45">
        <f t="shared" ca="1" si="9"/>
        <v>25452.222304942869</v>
      </c>
      <c r="BL21" s="45">
        <f t="shared" ca="1" si="9"/>
        <v>18698.234356203218</v>
      </c>
      <c r="BM21" s="45">
        <f t="shared" ca="1" si="9"/>
        <v>38808.124367895958</v>
      </c>
      <c r="BN21" s="45">
        <f t="shared" ca="1" si="9"/>
        <v>37266.203238878472</v>
      </c>
      <c r="BO21" s="45">
        <f t="shared" ca="1" si="9"/>
        <v>27010.676717667899</v>
      </c>
      <c r="BP21" s="45">
        <f t="shared" ca="1" si="9"/>
        <v>57579.882678744994</v>
      </c>
      <c r="BQ21" s="45">
        <f t="shared" ca="1" si="9"/>
        <v>71740.75441198147</v>
      </c>
      <c r="BR21" s="45">
        <f t="shared" ca="1" si="9"/>
        <v>84481.901520062835</v>
      </c>
      <c r="BS21" s="45">
        <f t="shared" ca="1" si="8"/>
        <v>41485.784176676789</v>
      </c>
      <c r="BT21" s="45">
        <f t="shared" ca="1" si="3"/>
        <v>82824.888972973989</v>
      </c>
      <c r="BU21" s="45">
        <f t="shared" ca="1" si="3"/>
        <v>59537.664885248974</v>
      </c>
      <c r="BV21" s="45">
        <f t="shared" ca="1" si="3"/>
        <v>125071.31222925382</v>
      </c>
      <c r="BW21" s="45">
        <f t="shared" ca="1" si="3"/>
        <v>61895.131353861216</v>
      </c>
      <c r="BX21" s="45">
        <f t="shared" ca="1" si="3"/>
        <v>98131.778659240488</v>
      </c>
      <c r="BY21" s="45">
        <f t="shared" ca="1" si="3"/>
        <v>93131.787651925726</v>
      </c>
      <c r="BZ21" s="92">
        <f t="shared" ca="1" si="4"/>
        <v>238.02989476079011</v>
      </c>
      <c r="CA21" s="47">
        <f t="shared" ca="1" si="5"/>
        <v>8.5819138485526469E-2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7"/>
      <c r="CY21" s="97"/>
      <c r="CZ21" s="97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4"/>
      <c r="EL21" s="94"/>
      <c r="EM21" s="94"/>
      <c r="EN21" s="94"/>
      <c r="EO21" s="94"/>
      <c r="EP21" s="94"/>
      <c r="EQ21" s="94"/>
      <c r="ER21" s="94"/>
      <c r="ES21" s="98"/>
      <c r="ET21" s="98"/>
      <c r="EU21" s="98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/>
      <c r="FG21" s="98"/>
      <c r="FH21" s="98"/>
      <c r="FI21" s="98"/>
      <c r="FJ21" s="98"/>
      <c r="FK21" s="98"/>
      <c r="FL21" s="98"/>
      <c r="FM21" s="98"/>
      <c r="FN21" s="98"/>
      <c r="FO21" s="25" t="str">
        <f t="shared" si="6"/>
        <v>weighted average9</v>
      </c>
    </row>
    <row r="22" spans="1:171">
      <c r="A22" s="128"/>
      <c r="B22" s="129"/>
      <c r="C22" s="129"/>
      <c r="D22" s="129"/>
      <c r="E22" s="129"/>
      <c r="F22" s="121">
        <v>3</v>
      </c>
      <c r="G22" s="111" t="s">
        <v>42</v>
      </c>
      <c r="H22" s="40">
        <v>1</v>
      </c>
      <c r="I22" s="41">
        <v>32802.146000000001</v>
      </c>
      <c r="J22" s="41">
        <v>33904.127</v>
      </c>
      <c r="K22" s="41">
        <v>32833.296999999999</v>
      </c>
      <c r="L22" s="41">
        <v>29818.438999999988</v>
      </c>
      <c r="M22" s="41">
        <v>33431.994999999974</v>
      </c>
      <c r="N22" s="41">
        <v>28803.478000000006</v>
      </c>
      <c r="O22" s="41">
        <v>40291.759000000013</v>
      </c>
      <c r="P22" s="41">
        <v>26278.331999999999</v>
      </c>
      <c r="Q22" s="41">
        <v>42540.371000000014</v>
      </c>
      <c r="R22" s="41">
        <v>37172.433999999972</v>
      </c>
      <c r="S22" s="41">
        <v>41637.430999999997</v>
      </c>
      <c r="T22" s="41">
        <v>31219.431999999964</v>
      </c>
      <c r="U22" s="41">
        <v>28675.796000000013</v>
      </c>
      <c r="V22" s="41">
        <v>49731.127000000008</v>
      </c>
      <c r="W22" s="41">
        <v>41223.800000000025</v>
      </c>
      <c r="X22" s="41">
        <v>32654.809000000019</v>
      </c>
      <c r="Y22" s="41">
        <v>28539.58400000001</v>
      </c>
      <c r="Z22" s="41">
        <v>21790.126999999993</v>
      </c>
      <c r="AA22" s="41">
        <v>37336.114000000016</v>
      </c>
      <c r="AB22" s="41">
        <v>42632.649000000019</v>
      </c>
      <c r="AC22" s="41">
        <v>31690.889000000021</v>
      </c>
      <c r="AD22" s="41">
        <v>43097.821000000011</v>
      </c>
      <c r="AE22" s="150"/>
      <c r="AF22" s="150"/>
      <c r="AG22" s="150"/>
      <c r="AH22" s="150">
        <f ca="1">AVERAGE(INDIRECT(ADDRESS(ROW(E22),9,1,1)):INDIRECT(ADDRESS(ROW(E22),11,1,1)))</f>
        <v>33179.856666666667</v>
      </c>
      <c r="AI22" s="150">
        <f t="shared" ref="AI22:AX30" si="10">IFERROR(AVERAGE(J22:L22),"")</f>
        <v>32185.28766666666</v>
      </c>
      <c r="AJ22" s="150">
        <f t="shared" si="10"/>
        <v>32027.910333333322</v>
      </c>
      <c r="AK22" s="150">
        <f t="shared" si="10"/>
        <v>30684.637333333321</v>
      </c>
      <c r="AL22" s="150">
        <f t="shared" si="10"/>
        <v>34175.743999999999</v>
      </c>
      <c r="AM22" s="150">
        <f t="shared" si="10"/>
        <v>31791.189666666673</v>
      </c>
      <c r="AN22" s="150">
        <f t="shared" si="10"/>
        <v>36370.15400000001</v>
      </c>
      <c r="AO22" s="150">
        <f t="shared" si="10"/>
        <v>35330.378999999994</v>
      </c>
      <c r="AP22" s="150">
        <f t="shared" si="10"/>
        <v>40450.078666666661</v>
      </c>
      <c r="AQ22" s="150">
        <f t="shared" si="10"/>
        <v>36676.432333333309</v>
      </c>
      <c r="AR22" s="150">
        <f t="shared" si="10"/>
        <v>33844.219666666657</v>
      </c>
      <c r="AS22" s="150">
        <f t="shared" si="10"/>
        <v>36542.118333333325</v>
      </c>
      <c r="AT22" s="150">
        <f t="shared" si="10"/>
        <v>39876.907666666688</v>
      </c>
      <c r="AU22" s="150">
        <f t="shared" si="10"/>
        <v>41203.245333333347</v>
      </c>
      <c r="AV22" s="150">
        <f t="shared" si="10"/>
        <v>34139.397666666686</v>
      </c>
      <c r="AW22" s="150">
        <f t="shared" si="10"/>
        <v>27661.506666666672</v>
      </c>
      <c r="AX22" s="150">
        <f t="shared" si="10"/>
        <v>29221.941666666669</v>
      </c>
      <c r="AY22" s="150">
        <f t="shared" ref="AY22:BA30" si="11">IFERROR(AVERAGE(Z22:AB22),"")</f>
        <v>33919.630000000012</v>
      </c>
      <c r="AZ22" s="150">
        <f t="shared" si="11"/>
        <v>37219.88400000002</v>
      </c>
      <c r="BA22" s="148">
        <f t="shared" si="11"/>
        <v>39140.453000000016</v>
      </c>
      <c r="BB22" s="149">
        <f t="shared" si="1"/>
        <v>39140.453000000016</v>
      </c>
      <c r="BC22" s="148">
        <f t="shared" si="1"/>
        <v>39140.453000000016</v>
      </c>
      <c r="BD22" s="45" t="str">
        <f t="shared" si="9"/>
        <v/>
      </c>
      <c r="BE22" s="45" t="str">
        <f t="shared" si="9"/>
        <v/>
      </c>
      <c r="BF22" s="45" t="str">
        <f t="shared" si="9"/>
        <v/>
      </c>
      <c r="BG22" s="45">
        <f t="shared" ca="1" si="9"/>
        <v>11299128.72977886</v>
      </c>
      <c r="BH22" s="45">
        <f t="shared" si="9"/>
        <v>1554279.1749870621</v>
      </c>
      <c r="BI22" s="45">
        <f t="shared" si="9"/>
        <v>10396963.872245332</v>
      </c>
      <c r="BJ22" s="45">
        <f t="shared" si="9"/>
        <v>92296786.718136594</v>
      </c>
      <c r="BK22" s="45">
        <f t="shared" si="9"/>
        <v>62369116.297744006</v>
      </c>
      <c r="BL22" s="45">
        <f t="shared" si="9"/>
        <v>115544899.33688195</v>
      </c>
      <c r="BM22" s="45">
        <f t="shared" si="9"/>
        <v>643653.19839993981</v>
      </c>
      <c r="BN22" s="45">
        <f t="shared" si="9"/>
        <v>39778904.930704042</v>
      </c>
      <c r="BO22" s="45">
        <f t="shared" si="9"/>
        <v>85204837.884845003</v>
      </c>
      <c r="BP22" s="45">
        <f t="shared" si="9"/>
        <v>64010181.738252841</v>
      </c>
      <c r="BQ22" s="45">
        <f t="shared" si="9"/>
        <v>252393824.61792099</v>
      </c>
      <c r="BR22" s="45">
        <f t="shared" si="9"/>
        <v>21918143.228003092</v>
      </c>
      <c r="BS22" s="45">
        <f t="shared" si="8"/>
        <v>52158709.151068471</v>
      </c>
      <c r="BT22" s="45">
        <f t="shared" si="3"/>
        <v>160368318.36536187</v>
      </c>
      <c r="BU22" s="45">
        <f t="shared" si="3"/>
        <v>152504485.99859443</v>
      </c>
      <c r="BV22" s="45">
        <f t="shared" si="3"/>
        <v>93598027.054187328</v>
      </c>
      <c r="BW22" s="45">
        <f t="shared" si="3"/>
        <v>179847071.18032089</v>
      </c>
      <c r="BX22" s="45">
        <f t="shared" si="3"/>
        <v>4967286.4450809592</v>
      </c>
      <c r="BY22" s="45">
        <f t="shared" si="3"/>
        <v>34550143.375968888</v>
      </c>
      <c r="BZ22" s="92">
        <f t="shared" ca="1" si="4"/>
        <v>8691.8133329995999</v>
      </c>
      <c r="CA22" s="47">
        <f t="shared" ca="1" si="5"/>
        <v>0.20167639874414062</v>
      </c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93"/>
      <c r="CY22" s="93"/>
      <c r="CZ22" s="93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25" t="str">
        <f t="shared" si="6"/>
        <v>moving average1</v>
      </c>
    </row>
    <row r="23" spans="1:171">
      <c r="A23" s="130"/>
      <c r="B23" s="115"/>
      <c r="C23" s="115"/>
      <c r="D23" s="115"/>
      <c r="E23" s="115"/>
      <c r="F23" s="131"/>
      <c r="G23" s="111" t="s">
        <v>42</v>
      </c>
      <c r="H23" s="40">
        <v>2</v>
      </c>
      <c r="I23" s="41">
        <v>2034.829</v>
      </c>
      <c r="J23" s="41">
        <v>3926.1889999999994</v>
      </c>
      <c r="K23" s="41">
        <v>3165.9719999999993</v>
      </c>
      <c r="L23" s="41">
        <v>2405.7349999999997</v>
      </c>
      <c r="M23" s="41">
        <v>4985.2890000000025</v>
      </c>
      <c r="N23" s="41">
        <v>3527.0360000000028</v>
      </c>
      <c r="O23" s="41">
        <v>5465.6859999999933</v>
      </c>
      <c r="P23" s="41">
        <v>3315.097000000002</v>
      </c>
      <c r="Q23" s="41">
        <v>5477.0960000000023</v>
      </c>
      <c r="R23" s="41">
        <v>4799.9790000000003</v>
      </c>
      <c r="S23" s="41">
        <v>6470.7690000000048</v>
      </c>
      <c r="T23" s="41">
        <v>5351.2719999999999</v>
      </c>
      <c r="U23" s="41">
        <v>5938.1189999999997</v>
      </c>
      <c r="V23" s="41">
        <v>4660.0050000000001</v>
      </c>
      <c r="W23" s="41">
        <v>5788.3040000000074</v>
      </c>
      <c r="X23" s="41">
        <v>5788.3040000000074</v>
      </c>
      <c r="Y23" s="41">
        <v>5652.8189999999959</v>
      </c>
      <c r="Z23" s="41">
        <v>4704.0000000000045</v>
      </c>
      <c r="AA23" s="41">
        <v>4291.5800000000008</v>
      </c>
      <c r="AB23" s="41">
        <v>5788.3040000000074</v>
      </c>
      <c r="AC23" s="41">
        <v>5711.5479999999989</v>
      </c>
      <c r="AD23" s="41">
        <v>6232.6779999999999</v>
      </c>
      <c r="AE23" s="150"/>
      <c r="AF23" s="150"/>
      <c r="AG23" s="150"/>
      <c r="AH23" s="150">
        <f t="shared" ref="AH23:AH30" si="12">IFERROR(AVERAGE(I23:K23),"")</f>
        <v>3042.3299999999995</v>
      </c>
      <c r="AI23" s="150">
        <f t="shared" si="10"/>
        <v>3165.9653333333322</v>
      </c>
      <c r="AJ23" s="150">
        <f t="shared" si="10"/>
        <v>3518.9986666666668</v>
      </c>
      <c r="AK23" s="150">
        <f t="shared" si="10"/>
        <v>3639.3533333333348</v>
      </c>
      <c r="AL23" s="150">
        <f t="shared" si="10"/>
        <v>4659.3369999999995</v>
      </c>
      <c r="AM23" s="150">
        <f t="shared" si="10"/>
        <v>4102.6063333333323</v>
      </c>
      <c r="AN23" s="150">
        <f t="shared" si="10"/>
        <v>4752.6263333333327</v>
      </c>
      <c r="AO23" s="150">
        <f t="shared" si="10"/>
        <v>4530.724000000002</v>
      </c>
      <c r="AP23" s="150">
        <f t="shared" si="10"/>
        <v>5582.6146666666691</v>
      </c>
      <c r="AQ23" s="150">
        <f t="shared" si="10"/>
        <v>5540.673333333335</v>
      </c>
      <c r="AR23" s="150">
        <f t="shared" si="10"/>
        <v>5920.0533333333342</v>
      </c>
      <c r="AS23" s="150">
        <f t="shared" si="10"/>
        <v>5316.4653333333335</v>
      </c>
      <c r="AT23" s="150">
        <f t="shared" si="10"/>
        <v>5462.1426666666694</v>
      </c>
      <c r="AU23" s="150">
        <f t="shared" si="10"/>
        <v>5412.2043333333386</v>
      </c>
      <c r="AV23" s="150">
        <f t="shared" si="10"/>
        <v>5743.1423333333369</v>
      </c>
      <c r="AW23" s="150">
        <f t="shared" si="10"/>
        <v>5381.707666666669</v>
      </c>
      <c r="AX23" s="150">
        <f t="shared" si="10"/>
        <v>4882.7996666666668</v>
      </c>
      <c r="AY23" s="150">
        <f t="shared" si="11"/>
        <v>4927.9613333333373</v>
      </c>
      <c r="AZ23" s="150">
        <f t="shared" si="11"/>
        <v>5263.810666666669</v>
      </c>
      <c r="BA23" s="148">
        <f t="shared" si="11"/>
        <v>5910.8433333333351</v>
      </c>
      <c r="BB23" s="149">
        <f t="shared" si="1"/>
        <v>5910.8433333333351</v>
      </c>
      <c r="BC23" s="148">
        <f t="shared" si="1"/>
        <v>5910.8433333333351</v>
      </c>
      <c r="BD23" s="45" t="str">
        <f t="shared" si="9"/>
        <v/>
      </c>
      <c r="BE23" s="45" t="str">
        <f t="shared" si="9"/>
        <v/>
      </c>
      <c r="BF23" s="45" t="str">
        <f t="shared" si="9"/>
        <v/>
      </c>
      <c r="BG23" s="45">
        <f t="shared" si="9"/>
        <v>405253.19402499974</v>
      </c>
      <c r="BH23" s="45">
        <f t="shared" si="9"/>
        <v>3309938.6040934576</v>
      </c>
      <c r="BI23" s="45">
        <f t="shared" si="9"/>
        <v>64.598727111152968</v>
      </c>
      <c r="BJ23" s="45">
        <f t="shared" si="9"/>
        <v>3335491.0093337479</v>
      </c>
      <c r="BK23" s="45">
        <f t="shared" si="9"/>
        <v>1806981.1775999933</v>
      </c>
      <c r="BL23" s="45">
        <f t="shared" si="9"/>
        <v>1889221.8437734537</v>
      </c>
      <c r="BM23" s="45">
        <f t="shared" si="9"/>
        <v>2242.2750404445305</v>
      </c>
      <c r="BN23" s="45">
        <f t="shared" si="9"/>
        <v>3763774.6020250111</v>
      </c>
      <c r="BO23" s="45">
        <f t="shared" si="9"/>
        <v>53519.429420445602</v>
      </c>
      <c r="BP23" s="45">
        <f t="shared" si="9"/>
        <v>157963.05795210955</v>
      </c>
      <c r="BQ23" s="45">
        <f t="shared" si="9"/>
        <v>1587721.8023361131</v>
      </c>
      <c r="BR23" s="45">
        <f t="shared" si="9"/>
        <v>222631.72736178452</v>
      </c>
      <c r="BS23" s="45">
        <f t="shared" si="8"/>
        <v>106381.21536178082</v>
      </c>
      <c r="BT23" s="45">
        <f t="shared" si="3"/>
        <v>57895.417815106593</v>
      </c>
      <c r="BU23" s="45">
        <f t="shared" si="3"/>
        <v>1079816.7889254424</v>
      </c>
      <c r="BV23" s="45">
        <f t="shared" si="3"/>
        <v>1188378.3296321144</v>
      </c>
      <c r="BW23" s="45">
        <f t="shared" si="3"/>
        <v>819938.09768545756</v>
      </c>
      <c r="BX23" s="45">
        <f t="shared" si="3"/>
        <v>614008.06417776982</v>
      </c>
      <c r="BY23" s="45">
        <f t="shared" si="3"/>
        <v>938703.9096004396</v>
      </c>
      <c r="BZ23" s="92">
        <f t="shared" si="4"/>
        <v>1059.7895805272108</v>
      </c>
      <c r="CA23" s="47">
        <f t="shared" si="5"/>
        <v>0.17003759548098119</v>
      </c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93"/>
      <c r="CY23" s="93"/>
      <c r="CZ23" s="93"/>
      <c r="DA23" s="60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60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  <c r="FO23" s="25" t="str">
        <f t="shared" si="6"/>
        <v>moving average2</v>
      </c>
    </row>
    <row r="24" spans="1:171">
      <c r="A24" s="130"/>
      <c r="B24" s="115"/>
      <c r="C24" s="115"/>
      <c r="D24" s="115"/>
      <c r="E24" s="115"/>
      <c r="F24" s="124"/>
      <c r="G24" s="111" t="s">
        <v>42</v>
      </c>
      <c r="H24" s="40">
        <v>3</v>
      </c>
      <c r="I24" s="41">
        <v>13358.629000000003</v>
      </c>
      <c r="J24" s="41">
        <v>20803.865999999976</v>
      </c>
      <c r="K24" s="41">
        <v>20017.845000000023</v>
      </c>
      <c r="L24" s="41">
        <v>15104.177</v>
      </c>
      <c r="M24" s="41">
        <v>26176.769000000015</v>
      </c>
      <c r="N24" s="41">
        <v>16747.22099999998</v>
      </c>
      <c r="O24" s="41">
        <v>26239.445000000032</v>
      </c>
      <c r="P24" s="41">
        <v>19977.948</v>
      </c>
      <c r="Q24" s="41">
        <v>24363.912000000008</v>
      </c>
      <c r="R24" s="41">
        <v>27562.603000000043</v>
      </c>
      <c r="S24" s="41">
        <v>19304.851999999999</v>
      </c>
      <c r="T24" s="41">
        <v>18896.307999999983</v>
      </c>
      <c r="U24" s="41">
        <v>18222.650000000001</v>
      </c>
      <c r="V24" s="41">
        <v>22709.071000000025</v>
      </c>
      <c r="W24" s="41">
        <v>16042.15199999998</v>
      </c>
      <c r="X24" s="41">
        <v>16228.581999999999</v>
      </c>
      <c r="Y24" s="41">
        <v>16931.791000000016</v>
      </c>
      <c r="Z24" s="41">
        <v>19747.198</v>
      </c>
      <c r="AA24" s="41">
        <v>19613.917000000005</v>
      </c>
      <c r="AB24" s="41">
        <v>23936.453999999991</v>
      </c>
      <c r="AC24" s="41">
        <v>26626.845000000001</v>
      </c>
      <c r="AD24" s="41">
        <v>29996.83699999996</v>
      </c>
      <c r="AE24" s="150"/>
      <c r="AF24" s="150"/>
      <c r="AG24" s="150"/>
      <c r="AH24" s="150">
        <f t="shared" si="12"/>
        <v>18060.113333333335</v>
      </c>
      <c r="AI24" s="150">
        <f t="shared" si="10"/>
        <v>18641.962666666663</v>
      </c>
      <c r="AJ24" s="150">
        <f t="shared" si="10"/>
        <v>20432.930333333348</v>
      </c>
      <c r="AK24" s="150">
        <f t="shared" si="10"/>
        <v>19342.722333333328</v>
      </c>
      <c r="AL24" s="150">
        <f t="shared" si="10"/>
        <v>23054.478333333343</v>
      </c>
      <c r="AM24" s="150">
        <f t="shared" si="10"/>
        <v>20988.204666666672</v>
      </c>
      <c r="AN24" s="150">
        <f t="shared" si="10"/>
        <v>23527.10166666668</v>
      </c>
      <c r="AO24" s="150">
        <f t="shared" si="10"/>
        <v>23968.15433333335</v>
      </c>
      <c r="AP24" s="150">
        <f t="shared" si="10"/>
        <v>23743.789000000019</v>
      </c>
      <c r="AQ24" s="150">
        <f t="shared" si="10"/>
        <v>21921.254333333345</v>
      </c>
      <c r="AR24" s="150">
        <f t="shared" si="10"/>
        <v>18807.936666666661</v>
      </c>
      <c r="AS24" s="150">
        <f t="shared" si="10"/>
        <v>19942.676333333337</v>
      </c>
      <c r="AT24" s="150">
        <f t="shared" si="10"/>
        <v>18991.291000000001</v>
      </c>
      <c r="AU24" s="150">
        <f t="shared" si="10"/>
        <v>18326.601666666669</v>
      </c>
      <c r="AV24" s="150">
        <f t="shared" si="10"/>
        <v>16400.841666666664</v>
      </c>
      <c r="AW24" s="150">
        <f t="shared" si="10"/>
        <v>17635.857000000004</v>
      </c>
      <c r="AX24" s="150">
        <f t="shared" si="10"/>
        <v>18764.302000000007</v>
      </c>
      <c r="AY24" s="150">
        <f t="shared" si="11"/>
        <v>21099.189666666665</v>
      </c>
      <c r="AZ24" s="150">
        <f t="shared" si="11"/>
        <v>23392.405333333332</v>
      </c>
      <c r="BA24" s="148">
        <f t="shared" si="11"/>
        <v>26853.378666666653</v>
      </c>
      <c r="BB24" s="149">
        <f t="shared" si="1"/>
        <v>26853.378666666653</v>
      </c>
      <c r="BC24" s="148">
        <f t="shared" si="1"/>
        <v>26853.378666666653</v>
      </c>
      <c r="BD24" s="45" t="str">
        <f t="shared" si="9"/>
        <v/>
      </c>
      <c r="BE24" s="45" t="str">
        <f t="shared" si="9"/>
        <v/>
      </c>
      <c r="BF24" s="45" t="str">
        <f t="shared" si="9"/>
        <v/>
      </c>
      <c r="BG24" s="45">
        <f t="shared" si="9"/>
        <v>8737559.6067201197</v>
      </c>
      <c r="BH24" s="45">
        <f t="shared" si="9"/>
        <v>56773306.480840392</v>
      </c>
      <c r="BI24" s="45">
        <f t="shared" si="9"/>
        <v>13584453.289820705</v>
      </c>
      <c r="BJ24" s="45">
        <f t="shared" si="9"/>
        <v>47564783.540914305</v>
      </c>
      <c r="BK24" s="45">
        <f t="shared" si="9"/>
        <v>9465038.8919201717</v>
      </c>
      <c r="BL24" s="45">
        <f t="shared" si="9"/>
        <v>11395400.000320459</v>
      </c>
      <c r="BM24" s="45">
        <f t="shared" si="9"/>
        <v>16285271.011335349</v>
      </c>
      <c r="BN24" s="45">
        <f t="shared" si="9"/>
        <v>21746388.652072277</v>
      </c>
      <c r="BO24" s="45">
        <f t="shared" si="9"/>
        <v>23498072.045361351</v>
      </c>
      <c r="BP24" s="45">
        <f t="shared" si="9"/>
        <v>13679674.014552187</v>
      </c>
      <c r="BQ24" s="45">
        <f t="shared" si="9"/>
        <v>15218849.086712353</v>
      </c>
      <c r="BR24" s="45">
        <f t="shared" si="9"/>
        <v>15214090.074925626</v>
      </c>
      <c r="BS24" s="45">
        <f t="shared" si="8"/>
        <v>7632561.018681014</v>
      </c>
      <c r="BT24" s="45">
        <f t="shared" si="3"/>
        <v>1945496.7958470746</v>
      </c>
      <c r="BU24" s="45">
        <f t="shared" si="3"/>
        <v>11198100.709640134</v>
      </c>
      <c r="BV24" s="45">
        <f t="shared" si="3"/>
        <v>3912721.3636000054</v>
      </c>
      <c r="BW24" s="45">
        <f t="shared" si="3"/>
        <v>26751156.311103832</v>
      </c>
      <c r="BX24" s="45">
        <f t="shared" si="3"/>
        <v>30554973.484128471</v>
      </c>
      <c r="BY24" s="45">
        <f t="shared" si="3"/>
        <v>43618517.639668927</v>
      </c>
      <c r="BZ24" s="92">
        <f t="shared" si="4"/>
        <v>4464.9300932711303</v>
      </c>
      <c r="CA24" s="47">
        <f t="shared" si="5"/>
        <v>0.14884669651240684</v>
      </c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93"/>
      <c r="CY24" s="93"/>
      <c r="CZ24" s="93"/>
      <c r="DA24" s="60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60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25" t="str">
        <f t="shared" si="6"/>
        <v>moving average3</v>
      </c>
    </row>
    <row r="25" spans="1:171">
      <c r="A25" s="130"/>
      <c r="B25" s="115"/>
      <c r="C25" s="115"/>
      <c r="D25" s="115"/>
      <c r="E25" s="115"/>
      <c r="F25" s="131"/>
      <c r="G25" s="111" t="s">
        <v>42</v>
      </c>
      <c r="H25" s="40">
        <v>4</v>
      </c>
      <c r="I25" s="41">
        <v>400.44400000000007</v>
      </c>
      <c r="J25" s="41">
        <v>2589.7540000000013</v>
      </c>
      <c r="K25" s="41">
        <v>1336.3789999999999</v>
      </c>
      <c r="L25" s="41">
        <v>1186.7760000000001</v>
      </c>
      <c r="M25" s="41">
        <v>839.32799999999986</v>
      </c>
      <c r="N25" s="41">
        <v>2024.5600000000004</v>
      </c>
      <c r="O25" s="41">
        <v>1502.1150000000002</v>
      </c>
      <c r="P25" s="41">
        <v>1294.5919999999994</v>
      </c>
      <c r="Q25" s="41">
        <v>1067.4629999999997</v>
      </c>
      <c r="R25" s="41">
        <v>2076.5049999999987</v>
      </c>
      <c r="S25" s="41">
        <v>2051.2060000000006</v>
      </c>
      <c r="T25" s="41">
        <v>1039.9769999999999</v>
      </c>
      <c r="U25" s="41">
        <v>922.57100000000003</v>
      </c>
      <c r="V25" s="41">
        <v>380.83800000000002</v>
      </c>
      <c r="W25" s="41">
        <v>2476.893</v>
      </c>
      <c r="X25" s="41">
        <v>453.2119999999997</v>
      </c>
      <c r="Y25" s="41">
        <v>2092.7499999999995</v>
      </c>
      <c r="Z25" s="41">
        <v>823.12700000000018</v>
      </c>
      <c r="AA25" s="41">
        <v>1106.48</v>
      </c>
      <c r="AB25" s="41">
        <v>864.59699999999987</v>
      </c>
      <c r="AC25" s="41">
        <v>1086.4360000000004</v>
      </c>
      <c r="AD25" s="41">
        <v>1891.8890000000001</v>
      </c>
      <c r="AE25" s="150"/>
      <c r="AF25" s="150"/>
      <c r="AG25" s="150"/>
      <c r="AH25" s="150">
        <f t="shared" si="12"/>
        <v>1442.1923333333336</v>
      </c>
      <c r="AI25" s="150">
        <f t="shared" si="10"/>
        <v>1704.3030000000006</v>
      </c>
      <c r="AJ25" s="150">
        <f t="shared" si="10"/>
        <v>1120.8276666666666</v>
      </c>
      <c r="AK25" s="150">
        <f t="shared" si="10"/>
        <v>1350.2213333333334</v>
      </c>
      <c r="AL25" s="150">
        <f t="shared" si="10"/>
        <v>1455.3343333333335</v>
      </c>
      <c r="AM25" s="150">
        <f t="shared" si="10"/>
        <v>1607.0889999999999</v>
      </c>
      <c r="AN25" s="150">
        <f t="shared" si="10"/>
        <v>1288.0566666666664</v>
      </c>
      <c r="AO25" s="150">
        <f t="shared" si="10"/>
        <v>1479.5199999999993</v>
      </c>
      <c r="AP25" s="150">
        <f t="shared" si="10"/>
        <v>1731.7246666666663</v>
      </c>
      <c r="AQ25" s="150">
        <f t="shared" si="10"/>
        <v>1722.5626666666665</v>
      </c>
      <c r="AR25" s="150">
        <f t="shared" si="10"/>
        <v>1337.9180000000001</v>
      </c>
      <c r="AS25" s="150">
        <f t="shared" si="10"/>
        <v>781.12866666666662</v>
      </c>
      <c r="AT25" s="150">
        <f t="shared" si="10"/>
        <v>1260.1006666666667</v>
      </c>
      <c r="AU25" s="150">
        <f t="shared" si="10"/>
        <v>1103.6476666666665</v>
      </c>
      <c r="AV25" s="150">
        <f t="shared" si="10"/>
        <v>1674.2849999999999</v>
      </c>
      <c r="AW25" s="150">
        <f t="shared" si="10"/>
        <v>1123.0296666666663</v>
      </c>
      <c r="AX25" s="150">
        <f t="shared" si="10"/>
        <v>1340.7856666666664</v>
      </c>
      <c r="AY25" s="150">
        <f t="shared" si="11"/>
        <v>931.40133333333335</v>
      </c>
      <c r="AZ25" s="150">
        <f t="shared" si="11"/>
        <v>1019.1709999999999</v>
      </c>
      <c r="BA25" s="148">
        <f t="shared" si="11"/>
        <v>1280.9740000000002</v>
      </c>
      <c r="BB25" s="149">
        <f t="shared" si="1"/>
        <v>1280.9740000000002</v>
      </c>
      <c r="BC25" s="148">
        <f t="shared" si="1"/>
        <v>1280.9740000000002</v>
      </c>
      <c r="BD25" s="45" t="str">
        <f t="shared" si="9"/>
        <v/>
      </c>
      <c r="BE25" s="45" t="str">
        <f t="shared" si="9"/>
        <v/>
      </c>
      <c r="BF25" s="45" t="str">
        <f t="shared" si="9"/>
        <v/>
      </c>
      <c r="BG25" s="45">
        <f t="shared" si="9"/>
        <v>65237.503333444562</v>
      </c>
      <c r="BH25" s="45">
        <f t="shared" si="9"/>
        <v>748181.75062500127</v>
      </c>
      <c r="BI25" s="45">
        <f t="shared" si="9"/>
        <v>816732.13031211204</v>
      </c>
      <c r="BJ25" s="45">
        <f t="shared" si="9"/>
        <v>23071.685973444495</v>
      </c>
      <c r="BK25" s="45">
        <f t="shared" si="9"/>
        <v>25838.097725444673</v>
      </c>
      <c r="BL25" s="45">
        <f t="shared" si="9"/>
        <v>291196.21987600019</v>
      </c>
      <c r="BM25" s="45">
        <f t="shared" si="9"/>
        <v>621650.77433610952</v>
      </c>
      <c r="BN25" s="45">
        <f t="shared" si="9"/>
        <v>326824.88259600149</v>
      </c>
      <c r="BO25" s="45">
        <f t="shared" si="9"/>
        <v>478514.83433877741</v>
      </c>
      <c r="BP25" s="45">
        <f t="shared" si="9"/>
        <v>639986.66673611081</v>
      </c>
      <c r="BQ25" s="45">
        <f t="shared" si="9"/>
        <v>916002.1264000003</v>
      </c>
      <c r="BR25" s="45">
        <f t="shared" si="9"/>
        <v>2875616.6742054452</v>
      </c>
      <c r="BS25" s="45">
        <f t="shared" si="8"/>
        <v>651069.32039511157</v>
      </c>
      <c r="BT25" s="45">
        <f t="shared" si="3"/>
        <v>978323.4258054439</v>
      </c>
      <c r="BU25" s="45">
        <f t="shared" si="3"/>
        <v>724469.94096399948</v>
      </c>
      <c r="BV25" s="45">
        <f t="shared" si="3"/>
        <v>273.89146677776648</v>
      </c>
      <c r="BW25" s="45">
        <f t="shared" si="3"/>
        <v>226755.64626177767</v>
      </c>
      <c r="BX25" s="45">
        <f t="shared" si="3"/>
        <v>24035.747868444556</v>
      </c>
      <c r="BY25" s="45">
        <f t="shared" si="3"/>
        <v>761636.70752400032</v>
      </c>
      <c r="BZ25" s="92">
        <f t="shared" si="4"/>
        <v>767.61483031748378</v>
      </c>
      <c r="CA25" s="47">
        <f t="shared" si="5"/>
        <v>0.40573988765592683</v>
      </c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93"/>
      <c r="CY25" s="93"/>
      <c r="CZ25" s="93"/>
      <c r="DA25" s="60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60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25" t="str">
        <f t="shared" si="6"/>
        <v>moving average4</v>
      </c>
    </row>
    <row r="26" spans="1:171">
      <c r="A26" s="130"/>
      <c r="B26" s="115"/>
      <c r="C26" s="115"/>
      <c r="D26" s="115"/>
      <c r="E26" s="115"/>
      <c r="F26" s="124"/>
      <c r="G26" s="111" t="s">
        <v>42</v>
      </c>
      <c r="H26" s="40">
        <v>5</v>
      </c>
      <c r="I26" s="41">
        <v>590.74400000000014</v>
      </c>
      <c r="J26" s="41">
        <v>126.19599999999998</v>
      </c>
      <c r="K26" s="41">
        <v>73.710000000000008</v>
      </c>
      <c r="L26" s="41">
        <v>245.74300000000002</v>
      </c>
      <c r="M26" s="41">
        <v>257</v>
      </c>
      <c r="N26" s="41">
        <v>246</v>
      </c>
      <c r="O26" s="41">
        <v>142</v>
      </c>
      <c r="P26" s="41">
        <v>141</v>
      </c>
      <c r="Q26" s="41">
        <v>140</v>
      </c>
      <c r="R26" s="41">
        <v>269</v>
      </c>
      <c r="S26" s="41">
        <v>255</v>
      </c>
      <c r="T26" s="41">
        <v>268</v>
      </c>
      <c r="U26" s="41">
        <v>148</v>
      </c>
      <c r="V26" s="41">
        <v>141</v>
      </c>
      <c r="W26" s="41">
        <v>130</v>
      </c>
      <c r="X26" s="41">
        <v>256</v>
      </c>
      <c r="Y26" s="41">
        <v>263</v>
      </c>
      <c r="Z26" s="41">
        <v>278</v>
      </c>
      <c r="AA26" s="41">
        <v>133</v>
      </c>
      <c r="AB26" s="41">
        <v>133</v>
      </c>
      <c r="AC26" s="41">
        <v>148</v>
      </c>
      <c r="AD26" s="41">
        <v>273</v>
      </c>
      <c r="AE26" s="150"/>
      <c r="AF26" s="150"/>
      <c r="AG26" s="150"/>
      <c r="AH26" s="150">
        <f t="shared" si="12"/>
        <v>263.55000000000007</v>
      </c>
      <c r="AI26" s="150">
        <f t="shared" si="10"/>
        <v>148.54966666666667</v>
      </c>
      <c r="AJ26" s="150">
        <f t="shared" si="10"/>
        <v>192.15099999999998</v>
      </c>
      <c r="AK26" s="150">
        <f t="shared" si="10"/>
        <v>249.58100000000002</v>
      </c>
      <c r="AL26" s="150">
        <f t="shared" si="10"/>
        <v>215</v>
      </c>
      <c r="AM26" s="150">
        <f t="shared" si="10"/>
        <v>176.33333333333334</v>
      </c>
      <c r="AN26" s="150">
        <f t="shared" si="10"/>
        <v>141</v>
      </c>
      <c r="AO26" s="150">
        <f t="shared" si="10"/>
        <v>183.33333333333334</v>
      </c>
      <c r="AP26" s="150">
        <f t="shared" si="10"/>
        <v>221.33333333333334</v>
      </c>
      <c r="AQ26" s="150">
        <f t="shared" si="10"/>
        <v>264</v>
      </c>
      <c r="AR26" s="150">
        <f t="shared" si="10"/>
        <v>223.66666666666666</v>
      </c>
      <c r="AS26" s="150">
        <f t="shared" si="10"/>
        <v>185.66666666666666</v>
      </c>
      <c r="AT26" s="150">
        <f t="shared" si="10"/>
        <v>139.66666666666666</v>
      </c>
      <c r="AU26" s="150">
        <f t="shared" si="10"/>
        <v>175.66666666666666</v>
      </c>
      <c r="AV26" s="150">
        <f t="shared" si="10"/>
        <v>216.33333333333334</v>
      </c>
      <c r="AW26" s="150">
        <f t="shared" si="10"/>
        <v>265.66666666666669</v>
      </c>
      <c r="AX26" s="150">
        <f t="shared" si="10"/>
        <v>224.66666666666666</v>
      </c>
      <c r="AY26" s="150">
        <f t="shared" si="11"/>
        <v>181.33333333333334</v>
      </c>
      <c r="AZ26" s="150">
        <f t="shared" si="11"/>
        <v>138</v>
      </c>
      <c r="BA26" s="148">
        <f t="shared" si="11"/>
        <v>184.66666666666666</v>
      </c>
      <c r="BB26" s="149">
        <f t="shared" si="1"/>
        <v>184.66666666666666</v>
      </c>
      <c r="BC26" s="148">
        <f t="shared" si="1"/>
        <v>184.66666666666666</v>
      </c>
      <c r="BD26" s="45" t="str">
        <f t="shared" si="9"/>
        <v/>
      </c>
      <c r="BE26" s="45" t="str">
        <f t="shared" si="9"/>
        <v/>
      </c>
      <c r="BF26" s="45" t="str">
        <f t="shared" si="9"/>
        <v/>
      </c>
      <c r="BG26" s="45">
        <f t="shared" si="9"/>
        <v>317.08924900000159</v>
      </c>
      <c r="BH26" s="45">
        <f t="shared" si="9"/>
        <v>11761.474800111111</v>
      </c>
      <c r="BI26" s="45">
        <f t="shared" si="9"/>
        <v>2899.7148010000019</v>
      </c>
      <c r="BJ26" s="45">
        <f t="shared" si="9"/>
        <v>11573.671561000003</v>
      </c>
      <c r="BK26" s="45">
        <f t="shared" si="9"/>
        <v>5476</v>
      </c>
      <c r="BL26" s="45">
        <f t="shared" si="9"/>
        <v>1320.1111111111118</v>
      </c>
      <c r="BM26" s="45">
        <f t="shared" si="9"/>
        <v>16384</v>
      </c>
      <c r="BN26" s="45">
        <f t="shared" si="9"/>
        <v>5136.1111111111095</v>
      </c>
      <c r="BO26" s="45">
        <f t="shared" si="9"/>
        <v>2177.7777777777769</v>
      </c>
      <c r="BP26" s="45">
        <f t="shared" si="9"/>
        <v>13456</v>
      </c>
      <c r="BQ26" s="45">
        <f t="shared" si="9"/>
        <v>6833.7777777777765</v>
      </c>
      <c r="BR26" s="45">
        <f t="shared" si="9"/>
        <v>3098.7777777777769</v>
      </c>
      <c r="BS26" s="45">
        <f t="shared" si="8"/>
        <v>13533.444444444447</v>
      </c>
      <c r="BT26" s="45">
        <f t="shared" si="3"/>
        <v>7627.1111111111131</v>
      </c>
      <c r="BU26" s="45">
        <f t="shared" si="3"/>
        <v>3802.7777777777765</v>
      </c>
      <c r="BV26" s="45">
        <f t="shared" si="3"/>
        <v>17600.444444444449</v>
      </c>
      <c r="BW26" s="45">
        <f t="shared" si="3"/>
        <v>8402.7777777777756</v>
      </c>
      <c r="BX26" s="45">
        <f t="shared" si="3"/>
        <v>1111.1111111111118</v>
      </c>
      <c r="BY26" s="45">
        <f t="shared" si="3"/>
        <v>18225</v>
      </c>
      <c r="BZ26" s="92">
        <f t="shared" si="4"/>
        <v>89.070395765115961</v>
      </c>
      <c r="CA26" s="47">
        <f t="shared" si="5"/>
        <v>0.32626518595280574</v>
      </c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93"/>
      <c r="CY26" s="93"/>
      <c r="CZ26" s="93"/>
      <c r="DA26" s="60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60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25" t="str">
        <f t="shared" si="6"/>
        <v>moving average5</v>
      </c>
    </row>
    <row r="27" spans="1:171">
      <c r="A27" s="130"/>
      <c r="B27" s="115"/>
      <c r="C27" s="115"/>
      <c r="D27" s="115"/>
      <c r="E27" s="115"/>
      <c r="F27" s="131"/>
      <c r="G27" s="111" t="s">
        <v>42</v>
      </c>
      <c r="H27" s="40">
        <v>6</v>
      </c>
      <c r="I27" s="41"/>
      <c r="J27" s="41"/>
      <c r="K27" s="41"/>
      <c r="L27" s="41"/>
      <c r="M27" s="41"/>
      <c r="N27" s="41"/>
      <c r="O27" s="41">
        <v>266.03799999999995</v>
      </c>
      <c r="P27" s="41">
        <v>232.57400000000007</v>
      </c>
      <c r="Q27" s="41">
        <v>115.23299999999999</v>
      </c>
      <c r="R27" s="41">
        <v>203.98799999999997</v>
      </c>
      <c r="S27" s="41">
        <v>180.53700000000001</v>
      </c>
      <c r="T27" s="41">
        <v>869.18299999999977</v>
      </c>
      <c r="U27" s="41">
        <v>1078.4489999999998</v>
      </c>
      <c r="V27" s="41">
        <v>1258.0669999999996</v>
      </c>
      <c r="W27" s="41">
        <v>1027.184</v>
      </c>
      <c r="X27" s="41">
        <v>624.39099999999996</v>
      </c>
      <c r="Y27" s="41">
        <v>1201.8340000000001</v>
      </c>
      <c r="Z27" s="41">
        <v>548.27800000000002</v>
      </c>
      <c r="AA27" s="41">
        <v>1219.8130000000006</v>
      </c>
      <c r="AB27" s="41">
        <v>393.93799999999987</v>
      </c>
      <c r="AC27" s="41">
        <v>240.81100000000015</v>
      </c>
      <c r="AD27" s="41">
        <v>1097.4179999999999</v>
      </c>
      <c r="AE27" s="150"/>
      <c r="AF27" s="150"/>
      <c r="AG27" s="150"/>
      <c r="AH27" s="150" t="str">
        <f t="shared" si="12"/>
        <v/>
      </c>
      <c r="AI27" s="150" t="str">
        <f t="shared" si="10"/>
        <v/>
      </c>
      <c r="AJ27" s="150" t="str">
        <f t="shared" si="10"/>
        <v/>
      </c>
      <c r="AK27" s="150" t="str">
        <f t="shared" si="10"/>
        <v/>
      </c>
      <c r="AL27" s="150">
        <f t="shared" si="10"/>
        <v>266.03799999999995</v>
      </c>
      <c r="AM27" s="150">
        <f t="shared" si="10"/>
        <v>249.30600000000001</v>
      </c>
      <c r="AN27" s="150">
        <f t="shared" si="10"/>
        <v>204.61500000000001</v>
      </c>
      <c r="AO27" s="150">
        <f t="shared" si="10"/>
        <v>183.9316666666667</v>
      </c>
      <c r="AP27" s="150">
        <f t="shared" si="10"/>
        <v>166.58599999999998</v>
      </c>
      <c r="AQ27" s="150">
        <f t="shared" si="10"/>
        <v>417.90266666666656</v>
      </c>
      <c r="AR27" s="150">
        <f t="shared" si="10"/>
        <v>709.38966666666659</v>
      </c>
      <c r="AS27" s="150">
        <f t="shared" si="10"/>
        <v>1068.566333333333</v>
      </c>
      <c r="AT27" s="150">
        <f t="shared" si="10"/>
        <v>1121.2333333333333</v>
      </c>
      <c r="AU27" s="150">
        <f t="shared" si="10"/>
        <v>969.88066666666646</v>
      </c>
      <c r="AV27" s="150">
        <f t="shared" si="10"/>
        <v>951.13633333333325</v>
      </c>
      <c r="AW27" s="150">
        <f t="shared" si="10"/>
        <v>791.50099999999986</v>
      </c>
      <c r="AX27" s="150">
        <f t="shared" si="10"/>
        <v>989.97500000000025</v>
      </c>
      <c r="AY27" s="150">
        <f t="shared" si="11"/>
        <v>720.67633333333345</v>
      </c>
      <c r="AZ27" s="150">
        <f t="shared" si="11"/>
        <v>618.18733333333353</v>
      </c>
      <c r="BA27" s="148">
        <f t="shared" si="11"/>
        <v>577.38900000000001</v>
      </c>
      <c r="BB27" s="149">
        <f t="shared" si="1"/>
        <v>577.38900000000001</v>
      </c>
      <c r="BC27" s="148">
        <f t="shared" si="1"/>
        <v>577.38900000000001</v>
      </c>
      <c r="BD27" s="45" t="str">
        <f t="shared" si="9"/>
        <v/>
      </c>
      <c r="BE27" s="45" t="str">
        <f t="shared" si="9"/>
        <v/>
      </c>
      <c r="BF27" s="45" t="str">
        <f t="shared" si="9"/>
        <v/>
      </c>
      <c r="BG27" s="45" t="str">
        <f t="shared" si="9"/>
        <v/>
      </c>
      <c r="BH27" s="45" t="str">
        <f t="shared" si="9"/>
        <v/>
      </c>
      <c r="BI27" s="45" t="str">
        <f t="shared" si="9"/>
        <v/>
      </c>
      <c r="BJ27" s="45" t="str">
        <f t="shared" si="9"/>
        <v/>
      </c>
      <c r="BK27" s="45">
        <f t="shared" si="9"/>
        <v>1119.8392959999924</v>
      </c>
      <c r="BL27" s="45">
        <f t="shared" si="9"/>
        <v>17975.569329000009</v>
      </c>
      <c r="BM27" s="45">
        <f t="shared" si="9"/>
        <v>0.39312900000004763</v>
      </c>
      <c r="BN27" s="45">
        <f t="shared" si="9"/>
        <v>11.523761777777965</v>
      </c>
      <c r="BO27" s="45">
        <f t="shared" si="9"/>
        <v>493642.54440899967</v>
      </c>
      <c r="BP27" s="45">
        <f t="shared" si="9"/>
        <v>436321.45848011097</v>
      </c>
      <c r="BQ27" s="45">
        <f t="shared" si="9"/>
        <v>301046.8161137774</v>
      </c>
      <c r="BR27" s="45">
        <f t="shared" si="9"/>
        <v>1712.4975121110842</v>
      </c>
      <c r="BS27" s="45">
        <f t="shared" si="8"/>
        <v>246852.30419211116</v>
      </c>
      <c r="BT27" s="45">
        <f t="shared" si="3"/>
        <v>53802.348844444568</v>
      </c>
      <c r="BU27" s="45">
        <f t="shared" si="3"/>
        <v>162294.83673611103</v>
      </c>
      <c r="BV27" s="45">
        <f t="shared" si="3"/>
        <v>183451.16934400061</v>
      </c>
      <c r="BW27" s="45">
        <f t="shared" si="3"/>
        <v>355260.10536900046</v>
      </c>
      <c r="BX27" s="45">
        <f t="shared" si="3"/>
        <v>230270.73813511108</v>
      </c>
      <c r="BY27" s="45">
        <f t="shared" si="3"/>
        <v>229662.03187377748</v>
      </c>
      <c r="BZ27" s="92">
        <f t="shared" si="4"/>
        <v>425.31746390395131</v>
      </c>
      <c r="CA27" s="47">
        <f t="shared" si="5"/>
        <v>0.38756195351630041</v>
      </c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93"/>
      <c r="CY27" s="93"/>
      <c r="CZ27" s="93"/>
      <c r="DA27" s="60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60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25" t="str">
        <f t="shared" si="6"/>
        <v>moving average6</v>
      </c>
    </row>
    <row r="28" spans="1:171">
      <c r="A28" s="130"/>
      <c r="B28" s="115"/>
      <c r="C28" s="115"/>
      <c r="D28" s="115"/>
      <c r="E28" s="115"/>
      <c r="F28" s="124"/>
      <c r="G28" s="111" t="s">
        <v>42</v>
      </c>
      <c r="H28" s="40">
        <v>7</v>
      </c>
      <c r="I28" s="41">
        <v>198</v>
      </c>
      <c r="J28" s="41">
        <v>186</v>
      </c>
      <c r="K28" s="41">
        <v>177.429</v>
      </c>
      <c r="L28" s="41">
        <v>157</v>
      </c>
      <c r="M28" s="41">
        <v>126.622</v>
      </c>
      <c r="N28" s="41">
        <v>177.429</v>
      </c>
      <c r="O28" s="41">
        <v>157</v>
      </c>
      <c r="P28" s="41">
        <v>126.622</v>
      </c>
      <c r="Q28" s="41">
        <v>177.429</v>
      </c>
      <c r="R28" s="41">
        <v>157</v>
      </c>
      <c r="S28" s="41">
        <v>126.622</v>
      </c>
      <c r="T28" s="41">
        <v>177.429</v>
      </c>
      <c r="U28" s="41">
        <v>157</v>
      </c>
      <c r="V28" s="41">
        <v>126.622</v>
      </c>
      <c r="W28" s="41">
        <v>128.38799999999998</v>
      </c>
      <c r="X28" s="41">
        <v>203.08599999999998</v>
      </c>
      <c r="Y28" s="41">
        <v>177.429</v>
      </c>
      <c r="Z28" s="41">
        <v>157</v>
      </c>
      <c r="AA28" s="41">
        <v>126.622</v>
      </c>
      <c r="AB28" s="41">
        <v>165</v>
      </c>
      <c r="AC28" s="41">
        <v>121.236</v>
      </c>
      <c r="AD28" s="41">
        <v>127.90299999999999</v>
      </c>
      <c r="AE28" s="150"/>
      <c r="AF28" s="150"/>
      <c r="AG28" s="150"/>
      <c r="AH28" s="150">
        <f t="shared" si="12"/>
        <v>187.143</v>
      </c>
      <c r="AI28" s="150">
        <f t="shared" si="10"/>
        <v>173.47633333333332</v>
      </c>
      <c r="AJ28" s="150">
        <f t="shared" si="10"/>
        <v>153.68366666666665</v>
      </c>
      <c r="AK28" s="150">
        <f t="shared" si="10"/>
        <v>153.68366666666668</v>
      </c>
      <c r="AL28" s="150">
        <f t="shared" si="10"/>
        <v>153.68366666666665</v>
      </c>
      <c r="AM28" s="150">
        <f t="shared" si="10"/>
        <v>153.68366666666665</v>
      </c>
      <c r="AN28" s="150">
        <f t="shared" si="10"/>
        <v>153.68366666666668</v>
      </c>
      <c r="AO28" s="150">
        <f t="shared" si="10"/>
        <v>153.68366666666665</v>
      </c>
      <c r="AP28" s="150">
        <f t="shared" si="10"/>
        <v>153.68366666666665</v>
      </c>
      <c r="AQ28" s="150">
        <f t="shared" si="10"/>
        <v>153.68366666666668</v>
      </c>
      <c r="AR28" s="150">
        <f t="shared" si="10"/>
        <v>153.68366666666665</v>
      </c>
      <c r="AS28" s="150">
        <f t="shared" si="10"/>
        <v>153.68366666666665</v>
      </c>
      <c r="AT28" s="150">
        <f t="shared" si="10"/>
        <v>137.33666666666667</v>
      </c>
      <c r="AU28" s="150">
        <f t="shared" si="10"/>
        <v>152.69866666666667</v>
      </c>
      <c r="AV28" s="150">
        <f t="shared" si="10"/>
        <v>169.6343333333333</v>
      </c>
      <c r="AW28" s="150">
        <f t="shared" si="10"/>
        <v>179.17166666666665</v>
      </c>
      <c r="AX28" s="150">
        <f t="shared" si="10"/>
        <v>153.68366666666665</v>
      </c>
      <c r="AY28" s="150">
        <f t="shared" si="11"/>
        <v>149.54066666666668</v>
      </c>
      <c r="AZ28" s="150">
        <f t="shared" si="11"/>
        <v>137.61933333333334</v>
      </c>
      <c r="BA28" s="148">
        <f t="shared" si="11"/>
        <v>138.04633333333334</v>
      </c>
      <c r="BB28" s="149">
        <f t="shared" si="1"/>
        <v>138.04633333333334</v>
      </c>
      <c r="BC28" s="148">
        <f t="shared" si="1"/>
        <v>138.04633333333334</v>
      </c>
      <c r="BD28" s="45" t="str">
        <f t="shared" si="9"/>
        <v/>
      </c>
      <c r="BE28" s="45" t="str">
        <f t="shared" si="9"/>
        <v/>
      </c>
      <c r="BF28" s="45" t="str">
        <f t="shared" si="9"/>
        <v/>
      </c>
      <c r="BG28" s="45">
        <f t="shared" si="9"/>
        <v>908.60044900000003</v>
      </c>
      <c r="BH28" s="45">
        <f t="shared" si="9"/>
        <v>2195.3285521111093</v>
      </c>
      <c r="BI28" s="45">
        <f t="shared" si="9"/>
        <v>563.84085511111186</v>
      </c>
      <c r="BJ28" s="45">
        <f t="shared" si="9"/>
        <v>10.998066777777678</v>
      </c>
      <c r="BK28" s="45">
        <f t="shared" si="9"/>
        <v>732.33380277777701</v>
      </c>
      <c r="BL28" s="45">
        <f t="shared" si="9"/>
        <v>563.84085511111186</v>
      </c>
      <c r="BM28" s="45">
        <f t="shared" si="9"/>
        <v>10.998066777777678</v>
      </c>
      <c r="BN28" s="45">
        <f t="shared" si="9"/>
        <v>732.33380277777701</v>
      </c>
      <c r="BO28" s="45">
        <f t="shared" si="9"/>
        <v>563.84085511111186</v>
      </c>
      <c r="BP28" s="45">
        <f t="shared" si="9"/>
        <v>10.998066777777678</v>
      </c>
      <c r="BQ28" s="45">
        <f t="shared" si="9"/>
        <v>732.33380277777701</v>
      </c>
      <c r="BR28" s="45">
        <f t="shared" si="9"/>
        <v>639.87075211111164</v>
      </c>
      <c r="BS28" s="45">
        <f t="shared" si="8"/>
        <v>4322.9748337777746</v>
      </c>
      <c r="BT28" s="45">
        <f t="shared" si="3"/>
        <v>611.5893867777778</v>
      </c>
      <c r="BU28" s="45">
        <f t="shared" si="3"/>
        <v>159.62637877777698</v>
      </c>
      <c r="BV28" s="45">
        <f t="shared" si="3"/>
        <v>2761.4674667777763</v>
      </c>
      <c r="BW28" s="45">
        <f t="shared" si="3"/>
        <v>128.05940011111142</v>
      </c>
      <c r="BX28" s="45">
        <f t="shared" si="3"/>
        <v>801.15415511111166</v>
      </c>
      <c r="BY28" s="45">
        <f t="shared" si="3"/>
        <v>94.407133444444824</v>
      </c>
      <c r="BZ28" s="92">
        <f t="shared" si="4"/>
        <v>29.508782530308707</v>
      </c>
      <c r="CA28" s="47">
        <f t="shared" si="5"/>
        <v>0.23071220010718052</v>
      </c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93"/>
      <c r="CY28" s="93"/>
      <c r="CZ28" s="93"/>
      <c r="DA28" s="60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60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25" t="str">
        <f t="shared" si="6"/>
        <v>moving average7</v>
      </c>
    </row>
    <row r="29" spans="1:171">
      <c r="A29" s="130"/>
      <c r="B29" s="115"/>
      <c r="C29" s="115"/>
      <c r="D29" s="115"/>
      <c r="E29" s="115"/>
      <c r="F29" s="131"/>
      <c r="G29" s="111" t="s">
        <v>42</v>
      </c>
      <c r="H29" s="40">
        <v>8</v>
      </c>
      <c r="I29" s="41">
        <v>6.597999999999999</v>
      </c>
      <c r="J29" s="41">
        <v>14.509</v>
      </c>
      <c r="K29" s="41">
        <v>34</v>
      </c>
      <c r="L29" s="41">
        <v>36.616999999999976</v>
      </c>
      <c r="M29" s="41">
        <v>48.298000000000044</v>
      </c>
      <c r="N29" s="41">
        <v>50.913000000000054</v>
      </c>
      <c r="O29" s="41">
        <v>169.95999999999992</v>
      </c>
      <c r="P29" s="41">
        <v>158.32199999999997</v>
      </c>
      <c r="Q29" s="41">
        <v>169.77099999999999</v>
      </c>
      <c r="R29" s="41">
        <v>180</v>
      </c>
      <c r="S29" s="41">
        <v>127</v>
      </c>
      <c r="T29" s="41">
        <v>143.11099999999993</v>
      </c>
      <c r="U29" s="41">
        <v>167</v>
      </c>
      <c r="V29" s="41">
        <v>150</v>
      </c>
      <c r="W29" s="41">
        <v>199.79</v>
      </c>
      <c r="X29" s="41">
        <v>203.78579999999999</v>
      </c>
      <c r="Y29" s="41">
        <v>216.01294799999999</v>
      </c>
      <c r="Z29" s="41">
        <v>233.29398384000001</v>
      </c>
      <c r="AA29" s="41">
        <v>235.6269236784</v>
      </c>
      <c r="AB29" s="41">
        <v>245.05200062553601</v>
      </c>
      <c r="AC29" s="41">
        <v>259.75512066306817</v>
      </c>
      <c r="AD29" s="41">
        <v>283.13308152274431</v>
      </c>
      <c r="AE29" s="150"/>
      <c r="AF29" s="150"/>
      <c r="AG29" s="150"/>
      <c r="AH29" s="150">
        <f t="shared" si="12"/>
        <v>18.369</v>
      </c>
      <c r="AI29" s="150">
        <f t="shared" si="10"/>
        <v>28.375333333333327</v>
      </c>
      <c r="AJ29" s="150">
        <f t="shared" si="10"/>
        <v>39.638333333333343</v>
      </c>
      <c r="AK29" s="150">
        <f t="shared" si="10"/>
        <v>45.276000000000032</v>
      </c>
      <c r="AL29" s="150">
        <f t="shared" si="10"/>
        <v>89.723666666666688</v>
      </c>
      <c r="AM29" s="150">
        <f t="shared" si="10"/>
        <v>126.39833333333331</v>
      </c>
      <c r="AN29" s="150">
        <f t="shared" si="10"/>
        <v>166.01766666666663</v>
      </c>
      <c r="AO29" s="150">
        <f t="shared" si="10"/>
        <v>169.36433333333332</v>
      </c>
      <c r="AP29" s="150">
        <f t="shared" si="10"/>
        <v>158.92366666666666</v>
      </c>
      <c r="AQ29" s="150">
        <f t="shared" si="10"/>
        <v>150.03699999999998</v>
      </c>
      <c r="AR29" s="150">
        <f t="shared" si="10"/>
        <v>145.70366666666663</v>
      </c>
      <c r="AS29" s="150">
        <f t="shared" si="10"/>
        <v>153.37033333333332</v>
      </c>
      <c r="AT29" s="150">
        <f t="shared" si="10"/>
        <v>172.26333333333332</v>
      </c>
      <c r="AU29" s="150">
        <f t="shared" si="10"/>
        <v>184.52526666666665</v>
      </c>
      <c r="AV29" s="150">
        <f t="shared" si="10"/>
        <v>206.52958266666664</v>
      </c>
      <c r="AW29" s="150">
        <f t="shared" si="10"/>
        <v>217.69757727999999</v>
      </c>
      <c r="AX29" s="150">
        <f t="shared" si="10"/>
        <v>228.31128517280001</v>
      </c>
      <c r="AY29" s="150">
        <f t="shared" si="11"/>
        <v>237.990969381312</v>
      </c>
      <c r="AZ29" s="150">
        <f t="shared" si="11"/>
        <v>246.81134832233474</v>
      </c>
      <c r="BA29" s="148">
        <f t="shared" si="11"/>
        <v>262.64673427044949</v>
      </c>
      <c r="BB29" s="149">
        <f t="shared" si="1"/>
        <v>262.64673427044949</v>
      </c>
      <c r="BC29" s="148">
        <f t="shared" si="1"/>
        <v>262.64673427044949</v>
      </c>
      <c r="BD29" s="45" t="str">
        <f t="shared" si="9"/>
        <v/>
      </c>
      <c r="BE29" s="45" t="str">
        <f t="shared" si="9"/>
        <v/>
      </c>
      <c r="BF29" s="45" t="str">
        <f t="shared" si="9"/>
        <v/>
      </c>
      <c r="BG29" s="45">
        <f t="shared" si="9"/>
        <v>332.98950399999916</v>
      </c>
      <c r="BH29" s="45">
        <f t="shared" si="9"/>
        <v>396.91264711111313</v>
      </c>
      <c r="BI29" s="45">
        <f t="shared" si="9"/>
        <v>127.11810844444544</v>
      </c>
      <c r="BJ29" s="45">
        <f t="shared" si="9"/>
        <v>15546.099855999972</v>
      </c>
      <c r="BK29" s="45">
        <f t="shared" si="9"/>
        <v>4705.7313361111046</v>
      </c>
      <c r="BL29" s="45">
        <f t="shared" si="9"/>
        <v>1881.1882137777784</v>
      </c>
      <c r="BM29" s="45">
        <f t="shared" si="9"/>
        <v>195.50564544444552</v>
      </c>
      <c r="BN29" s="45">
        <f t="shared" si="9"/>
        <v>1794.7367387777767</v>
      </c>
      <c r="BO29" s="45">
        <f t="shared" si="9"/>
        <v>250.04042711111308</v>
      </c>
      <c r="BP29" s="45">
        <f t="shared" si="9"/>
        <v>287.74336900000077</v>
      </c>
      <c r="BQ29" s="45">
        <f t="shared" si="9"/>
        <v>18.458480111111385</v>
      </c>
      <c r="BR29" s="45">
        <f t="shared" si="9"/>
        <v>2154.785453444445</v>
      </c>
      <c r="BS29" s="45">
        <f t="shared" si="8"/>
        <v>993.6659047511115</v>
      </c>
      <c r="BT29" s="45">
        <f t="shared" si="3"/>
        <v>991.474075749549</v>
      </c>
      <c r="BU29" s="45">
        <f t="shared" si="3"/>
        <v>716.33317016712863</v>
      </c>
      <c r="BV29" s="45">
        <f t="shared" si="3"/>
        <v>321.46146227381956</v>
      </c>
      <c r="BW29" s="45">
        <f t="shared" si="3"/>
        <v>280.25155386947381</v>
      </c>
      <c r="BX29" s="45">
        <f t="shared" si="3"/>
        <v>473.67828101516875</v>
      </c>
      <c r="BY29" s="45">
        <f t="shared" si="3"/>
        <v>1319.2683026817347</v>
      </c>
      <c r="BZ29" s="92">
        <f t="shared" si="4"/>
        <v>41.54100227476038</v>
      </c>
      <c r="CA29" s="47">
        <f t="shared" si="5"/>
        <v>0.1467189988938942</v>
      </c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93"/>
      <c r="CY29" s="93"/>
      <c r="CZ29" s="93"/>
      <c r="DA29" s="60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60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25" t="str">
        <f t="shared" si="6"/>
        <v>moving average8</v>
      </c>
    </row>
    <row r="30" spans="1:171" ht="13.5" thickBot="1">
      <c r="A30" s="132"/>
      <c r="B30" s="133"/>
      <c r="C30" s="133"/>
      <c r="D30" s="134"/>
      <c r="E30" s="134"/>
      <c r="F30" s="135"/>
      <c r="G30" s="112" t="s">
        <v>42</v>
      </c>
      <c r="H30" s="96">
        <v>9</v>
      </c>
      <c r="I30" s="95">
        <v>798</v>
      </c>
      <c r="J30" s="95">
        <v>823</v>
      </c>
      <c r="K30" s="95">
        <v>839</v>
      </c>
      <c r="L30" s="41">
        <v>889.34</v>
      </c>
      <c r="M30" s="41">
        <v>969.38060000000007</v>
      </c>
      <c r="N30" s="41">
        <v>1017.8496300000002</v>
      </c>
      <c r="O30" s="41">
        <v>1109.4560967000002</v>
      </c>
      <c r="P30" s="41">
        <v>1176.0234625020003</v>
      </c>
      <c r="Q30" s="41">
        <v>1223.0644010020803</v>
      </c>
      <c r="R30" s="41">
        <v>1345.3708411022885</v>
      </c>
      <c r="S30" s="41">
        <v>1426.093091568426</v>
      </c>
      <c r="T30" s="41">
        <v>1483.1368152311632</v>
      </c>
      <c r="U30" s="41">
        <v>1631.4504967542796</v>
      </c>
      <c r="V30" s="41">
        <v>1761.966536494622</v>
      </c>
      <c r="W30" s="41">
        <v>1902.9238594141918</v>
      </c>
      <c r="X30" s="41">
        <v>1940.9823366024757</v>
      </c>
      <c r="Y30" s="41">
        <v>2115.6707468966988</v>
      </c>
      <c r="Z30" s="41">
        <v>2200.297576772567</v>
      </c>
      <c r="AA30" s="41">
        <v>2420.3273344498239</v>
      </c>
      <c r="AB30" s="41">
        <v>2468.7338811388204</v>
      </c>
      <c r="AC30" s="41">
        <v>2641.5452528185378</v>
      </c>
      <c r="AD30" s="41">
        <v>2773.6225154594649</v>
      </c>
      <c r="AE30" s="151"/>
      <c r="AF30" s="151"/>
      <c r="AG30" s="151"/>
      <c r="AH30" s="150">
        <f t="shared" si="12"/>
        <v>820</v>
      </c>
      <c r="AI30" s="150">
        <f t="shared" si="10"/>
        <v>850.44666666666672</v>
      </c>
      <c r="AJ30" s="150">
        <f t="shared" si="10"/>
        <v>899.24020000000007</v>
      </c>
      <c r="AK30" s="150">
        <f t="shared" si="10"/>
        <v>958.85674333333338</v>
      </c>
      <c r="AL30" s="150">
        <f t="shared" si="10"/>
        <v>1032.2287755666669</v>
      </c>
      <c r="AM30" s="150">
        <f t="shared" si="10"/>
        <v>1101.1097297340002</v>
      </c>
      <c r="AN30" s="150">
        <f t="shared" si="10"/>
        <v>1169.5146534013602</v>
      </c>
      <c r="AO30" s="150">
        <f t="shared" si="10"/>
        <v>1248.1529015354565</v>
      </c>
      <c r="AP30" s="150">
        <f t="shared" si="10"/>
        <v>1331.509444557598</v>
      </c>
      <c r="AQ30" s="150">
        <f t="shared" si="10"/>
        <v>1418.200249300626</v>
      </c>
      <c r="AR30" s="150">
        <f t="shared" si="10"/>
        <v>1513.5601345179564</v>
      </c>
      <c r="AS30" s="150">
        <f t="shared" si="10"/>
        <v>1625.5179494933548</v>
      </c>
      <c r="AT30" s="150">
        <f t="shared" si="10"/>
        <v>1765.4469642210313</v>
      </c>
      <c r="AU30" s="150">
        <f t="shared" si="10"/>
        <v>1868.6242441704298</v>
      </c>
      <c r="AV30" s="150">
        <f t="shared" si="10"/>
        <v>1986.5256476377888</v>
      </c>
      <c r="AW30" s="150">
        <f t="shared" si="10"/>
        <v>2085.6502200905802</v>
      </c>
      <c r="AX30" s="150">
        <f t="shared" si="10"/>
        <v>2245.4318860396966</v>
      </c>
      <c r="AY30" s="150">
        <f t="shared" si="11"/>
        <v>2363.1195974537368</v>
      </c>
      <c r="AZ30" s="150">
        <f t="shared" si="11"/>
        <v>2510.2021561357274</v>
      </c>
      <c r="BA30" s="148">
        <f t="shared" si="11"/>
        <v>2627.9672164722742</v>
      </c>
      <c r="BB30" s="149">
        <f t="shared" si="1"/>
        <v>2627.9672164722742</v>
      </c>
      <c r="BC30" s="148">
        <f t="shared" si="1"/>
        <v>2627.9672164722742</v>
      </c>
      <c r="BD30" s="45" t="str">
        <f t="shared" si="9"/>
        <v/>
      </c>
      <c r="BE30" s="45" t="str">
        <f t="shared" si="9"/>
        <v/>
      </c>
      <c r="BF30" s="45" t="str">
        <f t="shared" si="9"/>
        <v/>
      </c>
      <c r="BG30" s="45">
        <f t="shared" si="9"/>
        <v>4808.0356000000047</v>
      </c>
      <c r="BH30" s="45">
        <f t="shared" si="9"/>
        <v>14145.280498137783</v>
      </c>
      <c r="BI30" s="45">
        <f t="shared" si="9"/>
        <v>14068.196884924921</v>
      </c>
      <c r="BJ30" s="45">
        <f t="shared" si="9"/>
        <v>22680.165234458185</v>
      </c>
      <c r="BK30" s="45">
        <f t="shared" si="9"/>
        <v>20676.911990830544</v>
      </c>
      <c r="BL30" s="45">
        <f t="shared" si="9"/>
        <v>14872.941844105486</v>
      </c>
      <c r="BM30" s="45">
        <f t="shared" si="9"/>
        <v>30925.398752704135</v>
      </c>
      <c r="BN30" s="45">
        <f t="shared" si="9"/>
        <v>31662.711228969278</v>
      </c>
      <c r="BO30" s="45">
        <f t="shared" si="9"/>
        <v>22990.859537378714</v>
      </c>
      <c r="BP30" s="45">
        <f t="shared" si="9"/>
        <v>45475.668039044504</v>
      </c>
      <c r="BQ30" s="45">
        <f t="shared" si="9"/>
        <v>61705.740542992782</v>
      </c>
      <c r="BR30" s="45">
        <f t="shared" si="9"/>
        <v>76954.038859007575</v>
      </c>
      <c r="BS30" s="45">
        <f t="shared" si="8"/>
        <v>30812.666957092355</v>
      </c>
      <c r="BT30" s="45">
        <f t="shared" si="3"/>
        <v>61031.974509280415</v>
      </c>
      <c r="BU30" s="45">
        <f t="shared" si="3"/>
        <v>45698.437686004654</v>
      </c>
      <c r="BV30" s="45">
        <f t="shared" si="3"/>
        <v>112008.77087583026</v>
      </c>
      <c r="BW30" s="45">
        <f t="shared" si="3"/>
        <v>49863.781015249115</v>
      </c>
      <c r="BX30" s="45">
        <f t="shared" si="3"/>
        <v>77520.845565318974</v>
      </c>
      <c r="BY30" s="45">
        <f t="shared" si="3"/>
        <v>69390.285706247014</v>
      </c>
      <c r="BZ30" s="92">
        <f t="shared" si="4"/>
        <v>206.12881911531065</v>
      </c>
      <c r="CA30" s="47">
        <f t="shared" si="5"/>
        <v>7.4317546085093111E-2</v>
      </c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4"/>
      <c r="CU30" s="94"/>
      <c r="CV30" s="94"/>
      <c r="CW30" s="94"/>
      <c r="CX30" s="97"/>
      <c r="CY30" s="97"/>
      <c r="CZ30" s="97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4"/>
      <c r="DX30" s="94"/>
      <c r="DY30" s="94"/>
      <c r="DZ30" s="94"/>
      <c r="EA30" s="94"/>
      <c r="EB30" s="94"/>
      <c r="EC30" s="94"/>
      <c r="ED30" s="94"/>
      <c r="EE30" s="94"/>
      <c r="EF30" s="94"/>
      <c r="EG30" s="94"/>
      <c r="EH30" s="94"/>
      <c r="EI30" s="94"/>
      <c r="EJ30" s="94"/>
      <c r="EK30" s="94"/>
      <c r="EL30" s="94"/>
      <c r="EM30" s="94"/>
      <c r="EN30" s="94"/>
      <c r="EO30" s="94"/>
      <c r="EP30" s="94"/>
      <c r="EQ30" s="94"/>
      <c r="ER30" s="94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8"/>
      <c r="FJ30" s="98"/>
      <c r="FK30" s="98"/>
      <c r="FL30" s="98"/>
      <c r="FM30" s="98"/>
      <c r="FN30" s="98"/>
      <c r="FO30" s="25" t="str">
        <f t="shared" si="6"/>
        <v>moving average9</v>
      </c>
    </row>
    <row r="31" spans="1:171">
      <c r="A31" s="136">
        <f t="shared" ref="A31:A39" si="13">SLOPE(I31:AD31,CB31:CW31)</f>
        <v>189.26947317899609</v>
      </c>
      <c r="B31" s="137">
        <f t="shared" ref="B31:B39" si="14">INTERCEPT(I31:AD31,CB31:CW31)</f>
        <v>32737.308194805184</v>
      </c>
      <c r="C31" s="138"/>
      <c r="D31" s="129"/>
      <c r="E31" s="129"/>
      <c r="F31" s="121"/>
      <c r="G31" s="39" t="s">
        <v>43</v>
      </c>
      <c r="H31" s="40">
        <v>1</v>
      </c>
      <c r="I31" s="41">
        <v>32802.146000000001</v>
      </c>
      <c r="J31" s="41">
        <v>33904.127</v>
      </c>
      <c r="K31" s="41">
        <v>32833.296999999999</v>
      </c>
      <c r="L31" s="41">
        <v>29818.438999999988</v>
      </c>
      <c r="M31" s="41">
        <v>33431.994999999974</v>
      </c>
      <c r="N31" s="41">
        <v>28803.478000000006</v>
      </c>
      <c r="O31" s="41">
        <v>40291.759000000013</v>
      </c>
      <c r="P31" s="41">
        <v>26278.331999999999</v>
      </c>
      <c r="Q31" s="41">
        <v>42540.371000000014</v>
      </c>
      <c r="R31" s="41">
        <v>37172.433999999972</v>
      </c>
      <c r="S31" s="41">
        <v>41637.430999999997</v>
      </c>
      <c r="T31" s="41">
        <v>31219.431999999964</v>
      </c>
      <c r="U31" s="41">
        <v>28675.796000000013</v>
      </c>
      <c r="V31" s="41">
        <v>49731.127000000008</v>
      </c>
      <c r="W31" s="41">
        <v>41223.800000000025</v>
      </c>
      <c r="X31" s="41">
        <v>32654.809000000019</v>
      </c>
      <c r="Y31" s="41">
        <v>28539.58400000001</v>
      </c>
      <c r="Z31" s="41">
        <v>21790.126999999993</v>
      </c>
      <c r="AA31" s="41">
        <v>37336.114000000016</v>
      </c>
      <c r="AB31" s="41">
        <v>42632.649000000019</v>
      </c>
      <c r="AC31" s="41">
        <v>31690.889000000021</v>
      </c>
      <c r="AD31" s="41">
        <v>43097.821000000011</v>
      </c>
      <c r="AE31" s="150">
        <f t="shared" ref="AE31:AT39" si="15">IF(CB31="","",CB31*$A31+$B31)</f>
        <v>32926.57766798418</v>
      </c>
      <c r="AF31" s="150">
        <f t="shared" si="15"/>
        <v>33115.847141163176</v>
      </c>
      <c r="AG31" s="150">
        <f t="shared" si="15"/>
        <v>33305.116614342172</v>
      </c>
      <c r="AH31" s="150">
        <f t="shared" si="15"/>
        <v>33494.386087521169</v>
      </c>
      <c r="AI31" s="150">
        <f t="shared" si="15"/>
        <v>33683.655560700165</v>
      </c>
      <c r="AJ31" s="150">
        <f t="shared" si="15"/>
        <v>33872.925033879161</v>
      </c>
      <c r="AK31" s="150">
        <f t="shared" si="15"/>
        <v>34062.194507058157</v>
      </c>
      <c r="AL31" s="150">
        <f t="shared" si="15"/>
        <v>34251.463980237153</v>
      </c>
      <c r="AM31" s="150">
        <f t="shared" si="15"/>
        <v>34440.733453416149</v>
      </c>
      <c r="AN31" s="150">
        <f t="shared" si="15"/>
        <v>34630.002926595145</v>
      </c>
      <c r="AO31" s="150">
        <f t="shared" si="15"/>
        <v>34819.272399774141</v>
      </c>
      <c r="AP31" s="150">
        <f t="shared" si="15"/>
        <v>35008.541872953137</v>
      </c>
      <c r="AQ31" s="150">
        <f t="shared" si="15"/>
        <v>35197.811346132134</v>
      </c>
      <c r="AR31" s="150">
        <f t="shared" si="15"/>
        <v>35387.08081931113</v>
      </c>
      <c r="AS31" s="150">
        <f t="shared" si="15"/>
        <v>35576.350292490126</v>
      </c>
      <c r="AT31" s="150">
        <f t="shared" si="15"/>
        <v>35765.619765669122</v>
      </c>
      <c r="AU31" s="150">
        <f t="shared" ref="AU31:BC39" si="16">IF(CR31="","",CR31*$A31+$B31)</f>
        <v>35954.889238848118</v>
      </c>
      <c r="AV31" s="150">
        <f t="shared" si="16"/>
        <v>36144.158712027114</v>
      </c>
      <c r="AW31" s="150">
        <f t="shared" si="16"/>
        <v>36333.42818520611</v>
      </c>
      <c r="AX31" s="150">
        <f t="shared" si="16"/>
        <v>36522.697658385106</v>
      </c>
      <c r="AY31" s="150">
        <f t="shared" si="16"/>
        <v>36711.967131564103</v>
      </c>
      <c r="AZ31" s="150">
        <f t="shared" si="16"/>
        <v>36901.236604743099</v>
      </c>
      <c r="BA31" s="148">
        <f t="shared" si="16"/>
        <v>37090.506077922095</v>
      </c>
      <c r="BB31" s="148">
        <f t="shared" si="16"/>
        <v>37279.775551101091</v>
      </c>
      <c r="BC31" s="148">
        <f t="shared" si="16"/>
        <v>37469.045024280087</v>
      </c>
      <c r="BD31" s="45">
        <f t="shared" si="9"/>
        <v>15483.239997325085</v>
      </c>
      <c r="BE31" s="45">
        <f t="shared" si="9"/>
        <v>621385.13584780344</v>
      </c>
      <c r="BF31" s="45">
        <f t="shared" si="9"/>
        <v>222613.74847799755</v>
      </c>
      <c r="BG31" s="45">
        <f t="shared" si="9"/>
        <v>13512586.990255453</v>
      </c>
      <c r="BH31" s="45">
        <f t="shared" si="9"/>
        <v>63333.037811934584</v>
      </c>
      <c r="BI31" s="45">
        <f t="shared" si="9"/>
        <v>25699293.229306154</v>
      </c>
      <c r="BJ31" s="45">
        <f t="shared" si="9"/>
        <v>38807473.771721922</v>
      </c>
      <c r="BK31" s="45">
        <f t="shared" si="9"/>
        <v>63570833.574280448</v>
      </c>
      <c r="BL31" s="45">
        <f t="shared" si="9"/>
        <v>65604128.386031084</v>
      </c>
      <c r="BM31" s="45">
        <f t="shared" si="9"/>
        <v>6463955.7630144199</v>
      </c>
      <c r="BN31" s="45">
        <f t="shared" si="9"/>
        <v>46487286.697833799</v>
      </c>
      <c r="BO31" s="45">
        <f t="shared" si="9"/>
        <v>14357353.629311211</v>
      </c>
      <c r="BP31" s="45">
        <f t="shared" si="9"/>
        <v>42536684.175182886</v>
      </c>
      <c r="BQ31" s="45">
        <f t="shared" si="9"/>
        <v>205751660.8337352</v>
      </c>
      <c r="BR31" s="45">
        <f t="shared" si="9"/>
        <v>31893688.198853642</v>
      </c>
      <c r="BS31" s="45">
        <f t="shared" si="8"/>
        <v>9677143.6198027898</v>
      </c>
      <c r="BT31" s="45">
        <f t="shared" si="3"/>
        <v>54986751.7852882</v>
      </c>
      <c r="BU31" s="45">
        <f t="shared" si="3"/>
        <v>206038226.38988024</v>
      </c>
      <c r="BV31" s="45">
        <f t="shared" si="3"/>
        <v>1005378.8431889183</v>
      </c>
      <c r="BW31" s="45">
        <f t="shared" si="3"/>
        <v>37331505.396901876</v>
      </c>
      <c r="BX31" s="45">
        <f t="shared" si="3"/>
        <v>25211225.603271049</v>
      </c>
      <c r="BY31" s="45">
        <f t="shared" si="3"/>
        <v>38397658.167541474</v>
      </c>
      <c r="BZ31" s="92">
        <f t="shared" si="4"/>
        <v>6495.6476694977555</v>
      </c>
      <c r="CA31" s="47">
        <f t="shared" si="5"/>
        <v>0.15071870268099527</v>
      </c>
      <c r="CB31" s="42">
        <f t="shared" ref="CB31:CB84" si="17">IF(I31="","",1)</f>
        <v>1</v>
      </c>
      <c r="CC31" s="42">
        <f t="shared" ref="CC31:CR46" si="18">IF(CB31&lt;&gt;"",CB31+1,IF(J31=0,"",1))</f>
        <v>2</v>
      </c>
      <c r="CD31" s="42">
        <f t="shared" si="18"/>
        <v>3</v>
      </c>
      <c r="CE31" s="42">
        <f t="shared" si="18"/>
        <v>4</v>
      </c>
      <c r="CF31" s="42">
        <f t="shared" si="18"/>
        <v>5</v>
      </c>
      <c r="CG31" s="42">
        <f t="shared" si="18"/>
        <v>6</v>
      </c>
      <c r="CH31" s="42">
        <f t="shared" si="18"/>
        <v>7</v>
      </c>
      <c r="CI31" s="42">
        <f t="shared" si="18"/>
        <v>8</v>
      </c>
      <c r="CJ31" s="42">
        <f t="shared" si="18"/>
        <v>9</v>
      </c>
      <c r="CK31" s="42">
        <f t="shared" si="18"/>
        <v>10</v>
      </c>
      <c r="CL31" s="42">
        <f t="shared" si="18"/>
        <v>11</v>
      </c>
      <c r="CM31" s="42">
        <f t="shared" si="18"/>
        <v>12</v>
      </c>
      <c r="CN31" s="42">
        <f t="shared" si="18"/>
        <v>13</v>
      </c>
      <c r="CO31" s="42">
        <f t="shared" si="18"/>
        <v>14</v>
      </c>
      <c r="CP31" s="42">
        <f t="shared" si="18"/>
        <v>15</v>
      </c>
      <c r="CQ31" s="42">
        <f t="shared" si="18"/>
        <v>16</v>
      </c>
      <c r="CR31" s="42">
        <f t="shared" si="18"/>
        <v>17</v>
      </c>
      <c r="CS31" s="42">
        <f t="shared" ref="CS31:CZ62" si="19">IF(CR31&lt;&gt;"",CR31+1,IF(Z31=0,"",1))</f>
        <v>18</v>
      </c>
      <c r="CT31" s="42">
        <f t="shared" si="19"/>
        <v>19</v>
      </c>
      <c r="CU31" s="42">
        <f t="shared" si="19"/>
        <v>20</v>
      </c>
      <c r="CV31" s="42">
        <f t="shared" si="19"/>
        <v>21</v>
      </c>
      <c r="CW31" s="42">
        <f t="shared" si="19"/>
        <v>22</v>
      </c>
      <c r="CX31" s="42">
        <f t="shared" si="19"/>
        <v>23</v>
      </c>
      <c r="CY31" s="42">
        <f t="shared" si="19"/>
        <v>24</v>
      </c>
      <c r="CZ31" s="42">
        <f t="shared" si="19"/>
        <v>25</v>
      </c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  <c r="FL31" s="99"/>
      <c r="FM31" s="99"/>
      <c r="FN31" s="99"/>
      <c r="FO31" s="25" t="str">
        <f t="shared" si="6"/>
        <v>linear model1</v>
      </c>
    </row>
    <row r="32" spans="1:171">
      <c r="A32" s="139">
        <f t="shared" si="13"/>
        <v>131.61846640316222</v>
      </c>
      <c r="B32" s="140">
        <f t="shared" si="14"/>
        <v>3280.9608181818166</v>
      </c>
      <c r="C32" s="141"/>
      <c r="D32" s="115"/>
      <c r="E32" s="115"/>
      <c r="F32" s="131"/>
      <c r="G32" s="39" t="s">
        <v>43</v>
      </c>
      <c r="H32" s="40">
        <v>2</v>
      </c>
      <c r="I32" s="41">
        <v>2034.829</v>
      </c>
      <c r="J32" s="41">
        <v>3926.1889999999994</v>
      </c>
      <c r="K32" s="41">
        <v>3165.9719999999993</v>
      </c>
      <c r="L32" s="41">
        <v>2405.7349999999997</v>
      </c>
      <c r="M32" s="41">
        <v>4985.2890000000025</v>
      </c>
      <c r="N32" s="41">
        <v>3527.0360000000028</v>
      </c>
      <c r="O32" s="41">
        <v>5465.6859999999933</v>
      </c>
      <c r="P32" s="41">
        <v>3315.097000000002</v>
      </c>
      <c r="Q32" s="41">
        <v>5477.0960000000023</v>
      </c>
      <c r="R32" s="41">
        <v>4799.9790000000003</v>
      </c>
      <c r="S32" s="41">
        <v>6470.7690000000048</v>
      </c>
      <c r="T32" s="41">
        <v>5351.2719999999999</v>
      </c>
      <c r="U32" s="41">
        <v>5938.1189999999997</v>
      </c>
      <c r="V32" s="41">
        <v>4660.0050000000001</v>
      </c>
      <c r="W32" s="41">
        <v>5788.3040000000074</v>
      </c>
      <c r="X32" s="41">
        <v>5788.3040000000074</v>
      </c>
      <c r="Y32" s="41">
        <v>5652.8189999999959</v>
      </c>
      <c r="Z32" s="41">
        <v>4704.0000000000045</v>
      </c>
      <c r="AA32" s="41">
        <v>4291.5800000000008</v>
      </c>
      <c r="AB32" s="41">
        <v>5788.3040000000074</v>
      </c>
      <c r="AC32" s="41">
        <v>5711.5479999999989</v>
      </c>
      <c r="AD32" s="41">
        <v>6232.6779999999999</v>
      </c>
      <c r="AE32" s="150">
        <f t="shared" si="15"/>
        <v>3412.5792845849787</v>
      </c>
      <c r="AF32" s="150">
        <f t="shared" si="15"/>
        <v>3544.1977509881413</v>
      </c>
      <c r="AG32" s="150">
        <f t="shared" si="15"/>
        <v>3675.8162173913033</v>
      </c>
      <c r="AH32" s="150">
        <f t="shared" si="15"/>
        <v>3807.4346837944654</v>
      </c>
      <c r="AI32" s="150">
        <f t="shared" si="15"/>
        <v>3939.0531501976275</v>
      </c>
      <c r="AJ32" s="150">
        <f t="shared" si="15"/>
        <v>4070.67161660079</v>
      </c>
      <c r="AK32" s="150">
        <f t="shared" si="15"/>
        <v>4202.2900830039525</v>
      </c>
      <c r="AL32" s="150">
        <f t="shared" si="15"/>
        <v>4333.9085494071142</v>
      </c>
      <c r="AM32" s="150">
        <f t="shared" si="15"/>
        <v>4465.5270158102767</v>
      </c>
      <c r="AN32" s="150">
        <f t="shared" si="15"/>
        <v>4597.1454822134383</v>
      </c>
      <c r="AO32" s="150">
        <f t="shared" si="15"/>
        <v>4728.7639486166008</v>
      </c>
      <c r="AP32" s="150">
        <f t="shared" si="15"/>
        <v>4860.3824150197634</v>
      </c>
      <c r="AQ32" s="150">
        <f t="shared" si="15"/>
        <v>4992.0008814229259</v>
      </c>
      <c r="AR32" s="150">
        <f t="shared" si="15"/>
        <v>5123.6193478260875</v>
      </c>
      <c r="AS32" s="150">
        <f t="shared" si="15"/>
        <v>5255.23781422925</v>
      </c>
      <c r="AT32" s="150">
        <f t="shared" si="15"/>
        <v>5386.8562806324117</v>
      </c>
      <c r="AU32" s="150">
        <f t="shared" si="16"/>
        <v>5518.4747470355742</v>
      </c>
      <c r="AV32" s="150">
        <f t="shared" si="16"/>
        <v>5650.0932134387367</v>
      </c>
      <c r="AW32" s="150">
        <f t="shared" si="16"/>
        <v>5781.7116798418992</v>
      </c>
      <c r="AX32" s="150">
        <f t="shared" si="16"/>
        <v>5913.3301462450609</v>
      </c>
      <c r="AY32" s="150">
        <f t="shared" si="16"/>
        <v>6044.9486126482234</v>
      </c>
      <c r="AZ32" s="150">
        <f t="shared" si="16"/>
        <v>6176.567079051385</v>
      </c>
      <c r="BA32" s="148">
        <f t="shared" si="16"/>
        <v>6308.1855454545475</v>
      </c>
      <c r="BB32" s="148">
        <f t="shared" si="16"/>
        <v>6439.8040118577101</v>
      </c>
      <c r="BC32" s="148">
        <f t="shared" si="16"/>
        <v>6571.4224782608726</v>
      </c>
      <c r="BD32" s="45">
        <f t="shared" si="9"/>
        <v>1898195.8466739899</v>
      </c>
      <c r="BE32" s="45">
        <f t="shared" si="9"/>
        <v>145917.31432163942</v>
      </c>
      <c r="BF32" s="45">
        <f t="shared" si="9"/>
        <v>259941.12600735127</v>
      </c>
      <c r="BG32" s="45">
        <f t="shared" si="9"/>
        <v>1964762.0035495053</v>
      </c>
      <c r="BH32" s="45">
        <f t="shared" si="9"/>
        <v>1094609.4534116979</v>
      </c>
      <c r="BI32" s="45">
        <f t="shared" si="9"/>
        <v>295539.68363691814</v>
      </c>
      <c r="BJ32" s="45">
        <f t="shared" si="9"/>
        <v>1596169.2430822668</v>
      </c>
      <c r="BK32" s="45">
        <f t="shared" si="9"/>
        <v>1037976.9732053204</v>
      </c>
      <c r="BL32" s="45">
        <f t="shared" si="9"/>
        <v>1023271.8097746333</v>
      </c>
      <c r="BM32" s="45">
        <f t="shared" si="9"/>
        <v>41141.435937671551</v>
      </c>
      <c r="BN32" s="45">
        <f t="shared" si="9"/>
        <v>3034581.5990452957</v>
      </c>
      <c r="BO32" s="45">
        <f t="shared" si="9"/>
        <v>240972.58464206892</v>
      </c>
      <c r="BP32" s="45">
        <f t="shared" si="9"/>
        <v>895139.4942998219</v>
      </c>
      <c r="BQ32" s="45">
        <f t="shared" si="9"/>
        <v>214938.26351020834</v>
      </c>
      <c r="BR32" s="45">
        <f t="shared" si="9"/>
        <v>284159.55841218354</v>
      </c>
      <c r="BS32" s="45">
        <f t="shared" si="8"/>
        <v>161160.27138544389</v>
      </c>
      <c r="BT32" s="45">
        <f t="shared" si="3"/>
        <v>18048.378304568523</v>
      </c>
      <c r="BU32" s="45">
        <f t="shared" si="3"/>
        <v>895092.3685148264</v>
      </c>
      <c r="BV32" s="45">
        <f t="shared" si="3"/>
        <v>2220492.4232684379</v>
      </c>
      <c r="BW32" s="45">
        <f t="shared" si="3"/>
        <v>15631.537244889505</v>
      </c>
      <c r="BX32" s="45">
        <f t="shared" si="3"/>
        <v>111155.96851421145</v>
      </c>
      <c r="BY32" s="45">
        <f t="shared" si="3"/>
        <v>3148.4354497017075</v>
      </c>
      <c r="BZ32" s="92">
        <f t="shared" si="4"/>
        <v>890.65975985610737</v>
      </c>
      <c r="CA32" s="47">
        <f t="shared" si="5"/>
        <v>0.14290161626448653</v>
      </c>
      <c r="CB32" s="42">
        <f t="shared" si="17"/>
        <v>1</v>
      </c>
      <c r="CC32" s="42">
        <f t="shared" si="18"/>
        <v>2</v>
      </c>
      <c r="CD32" s="42">
        <f t="shared" si="18"/>
        <v>3</v>
      </c>
      <c r="CE32" s="42">
        <f t="shared" si="18"/>
        <v>4</v>
      </c>
      <c r="CF32" s="42">
        <f t="shared" si="18"/>
        <v>5</v>
      </c>
      <c r="CG32" s="42">
        <f t="shared" si="18"/>
        <v>6</v>
      </c>
      <c r="CH32" s="42">
        <f t="shared" si="18"/>
        <v>7</v>
      </c>
      <c r="CI32" s="42">
        <f t="shared" si="18"/>
        <v>8</v>
      </c>
      <c r="CJ32" s="42">
        <f t="shared" si="18"/>
        <v>9</v>
      </c>
      <c r="CK32" s="42">
        <f t="shared" si="18"/>
        <v>10</v>
      </c>
      <c r="CL32" s="42">
        <f t="shared" si="18"/>
        <v>11</v>
      </c>
      <c r="CM32" s="42">
        <f t="shared" si="18"/>
        <v>12</v>
      </c>
      <c r="CN32" s="42">
        <f t="shared" si="18"/>
        <v>13</v>
      </c>
      <c r="CO32" s="42">
        <f t="shared" si="18"/>
        <v>14</v>
      </c>
      <c r="CP32" s="42">
        <f t="shared" si="18"/>
        <v>15</v>
      </c>
      <c r="CQ32" s="42">
        <f t="shared" si="18"/>
        <v>16</v>
      </c>
      <c r="CR32" s="42">
        <f t="shared" si="18"/>
        <v>17</v>
      </c>
      <c r="CS32" s="42">
        <f t="shared" si="19"/>
        <v>18</v>
      </c>
      <c r="CT32" s="42">
        <f t="shared" si="19"/>
        <v>19</v>
      </c>
      <c r="CU32" s="42">
        <f t="shared" si="19"/>
        <v>20</v>
      </c>
      <c r="CV32" s="42">
        <f t="shared" si="19"/>
        <v>21</v>
      </c>
      <c r="CW32" s="42">
        <f t="shared" si="19"/>
        <v>22</v>
      </c>
      <c r="CX32" s="42">
        <f t="shared" si="19"/>
        <v>23</v>
      </c>
      <c r="CY32" s="42">
        <f t="shared" si="19"/>
        <v>24</v>
      </c>
      <c r="CZ32" s="42">
        <f t="shared" si="19"/>
        <v>25</v>
      </c>
      <c r="DA32" s="100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100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25" t="str">
        <f t="shared" si="6"/>
        <v>linear model2</v>
      </c>
    </row>
    <row r="33" spans="1:171">
      <c r="A33" s="139">
        <f t="shared" si="13"/>
        <v>202.36946470920313</v>
      </c>
      <c r="B33" s="140">
        <f t="shared" si="14"/>
        <v>18518.618064935072</v>
      </c>
      <c r="C33" s="141"/>
      <c r="D33" s="115"/>
      <c r="E33" s="115"/>
      <c r="F33" s="124"/>
      <c r="G33" s="39" t="s">
        <v>43</v>
      </c>
      <c r="H33" s="40">
        <v>3</v>
      </c>
      <c r="I33" s="41">
        <v>13358.629000000003</v>
      </c>
      <c r="J33" s="41">
        <v>20803.865999999976</v>
      </c>
      <c r="K33" s="41">
        <v>20017.845000000023</v>
      </c>
      <c r="L33" s="41">
        <v>15104.177</v>
      </c>
      <c r="M33" s="41">
        <v>26176.769000000015</v>
      </c>
      <c r="N33" s="41">
        <v>16747.22099999998</v>
      </c>
      <c r="O33" s="41">
        <v>26239.445000000032</v>
      </c>
      <c r="P33" s="41">
        <v>19977.948</v>
      </c>
      <c r="Q33" s="41">
        <v>24363.912000000008</v>
      </c>
      <c r="R33" s="41">
        <v>27562.603000000043</v>
      </c>
      <c r="S33" s="41">
        <v>19304.851999999999</v>
      </c>
      <c r="T33" s="41">
        <v>18896.307999999983</v>
      </c>
      <c r="U33" s="41">
        <v>18222.650000000001</v>
      </c>
      <c r="V33" s="41">
        <v>22709.071000000025</v>
      </c>
      <c r="W33" s="41">
        <v>16042.15199999998</v>
      </c>
      <c r="X33" s="41">
        <v>16228.581999999999</v>
      </c>
      <c r="Y33" s="41">
        <v>16931.791000000016</v>
      </c>
      <c r="Z33" s="41">
        <v>19747.198</v>
      </c>
      <c r="AA33" s="41">
        <v>19613.917000000005</v>
      </c>
      <c r="AB33" s="41">
        <v>23936.453999999991</v>
      </c>
      <c r="AC33" s="41">
        <v>26626.845000000001</v>
      </c>
      <c r="AD33" s="41">
        <v>29996.83699999996</v>
      </c>
      <c r="AE33" s="150">
        <f t="shared" si="15"/>
        <v>18720.987529644273</v>
      </c>
      <c r="AF33" s="150">
        <f t="shared" si="15"/>
        <v>18923.356994353479</v>
      </c>
      <c r="AG33" s="150">
        <f t="shared" si="15"/>
        <v>19125.72645906268</v>
      </c>
      <c r="AH33" s="150">
        <f t="shared" si="15"/>
        <v>19328.095923771885</v>
      </c>
      <c r="AI33" s="150">
        <f t="shared" si="15"/>
        <v>19530.465388481087</v>
      </c>
      <c r="AJ33" s="150">
        <f t="shared" si="15"/>
        <v>19732.834853190292</v>
      </c>
      <c r="AK33" s="150">
        <f t="shared" si="15"/>
        <v>19935.204317899494</v>
      </c>
      <c r="AL33" s="150">
        <f t="shared" si="15"/>
        <v>20137.573782608695</v>
      </c>
      <c r="AM33" s="150">
        <f t="shared" si="15"/>
        <v>20339.9432473179</v>
      </c>
      <c r="AN33" s="150">
        <f t="shared" si="15"/>
        <v>20542.312712027102</v>
      </c>
      <c r="AO33" s="150">
        <f t="shared" si="15"/>
        <v>20744.682176736307</v>
      </c>
      <c r="AP33" s="150">
        <f t="shared" si="15"/>
        <v>20947.051641445509</v>
      </c>
      <c r="AQ33" s="150">
        <f t="shared" si="15"/>
        <v>21149.421106154714</v>
      </c>
      <c r="AR33" s="150">
        <f t="shared" si="15"/>
        <v>21351.790570863915</v>
      </c>
      <c r="AS33" s="150">
        <f t="shared" si="15"/>
        <v>21554.160035573121</v>
      </c>
      <c r="AT33" s="150">
        <f t="shared" si="15"/>
        <v>21756.529500282322</v>
      </c>
      <c r="AU33" s="150">
        <f t="shared" si="16"/>
        <v>21958.898964991524</v>
      </c>
      <c r="AV33" s="150">
        <f t="shared" si="16"/>
        <v>22161.268429700729</v>
      </c>
      <c r="AW33" s="150">
        <f t="shared" si="16"/>
        <v>22363.637894409931</v>
      </c>
      <c r="AX33" s="150">
        <f t="shared" si="16"/>
        <v>22566.007359119136</v>
      </c>
      <c r="AY33" s="150">
        <f t="shared" si="16"/>
        <v>22768.376823828337</v>
      </c>
      <c r="AZ33" s="150">
        <f t="shared" si="16"/>
        <v>22970.746288537543</v>
      </c>
      <c r="BA33" s="148">
        <f t="shared" si="16"/>
        <v>23173.115753246744</v>
      </c>
      <c r="BB33" s="148">
        <f t="shared" si="16"/>
        <v>23375.485217955946</v>
      </c>
      <c r="BC33" s="148">
        <f t="shared" si="16"/>
        <v>23577.854682665151</v>
      </c>
      <c r="BD33" s="45">
        <f t="shared" si="9"/>
        <v>28754889.000448663</v>
      </c>
      <c r="BE33" s="45">
        <f t="shared" si="9"/>
        <v>3536314.1203175802</v>
      </c>
      <c r="BF33" s="45">
        <f t="shared" si="9"/>
        <v>795875.49108417355</v>
      </c>
      <c r="BG33" s="45">
        <f t="shared" si="9"/>
        <v>17841491.074598245</v>
      </c>
      <c r="BH33" s="45">
        <f t="shared" si="9"/>
        <v>44173351.696489543</v>
      </c>
      <c r="BI33" s="45">
        <f t="shared" si="9"/>
        <v>8913890.0803619046</v>
      </c>
      <c r="BJ33" s="45">
        <f t="shared" si="9"/>
        <v>39743450.577851467</v>
      </c>
      <c r="BK33" s="45">
        <f t="shared" si="9"/>
        <v>25480.39047343831</v>
      </c>
      <c r="BL33" s="45">
        <f t="shared" si="9"/>
        <v>16192324.522561993</v>
      </c>
      <c r="BM33" s="45">
        <f t="shared" si="9"/>
        <v>49284475.727407195</v>
      </c>
      <c r="BN33" s="45">
        <f t="shared" si="9"/>
        <v>2073110.9378405085</v>
      </c>
      <c r="BO33" s="45">
        <f t="shared" si="9"/>
        <v>4205549.4829292558</v>
      </c>
      <c r="BP33" s="45">
        <f t="shared" si="9"/>
        <v>8565989.1078220792</v>
      </c>
      <c r="BQ33" s="45">
        <f t="shared" si="9"/>
        <v>1842210.1633159027</v>
      </c>
      <c r="BR33" s="45">
        <f t="shared" si="9"/>
        <v>30382232.584222872</v>
      </c>
      <c r="BS33" s="45">
        <f t="shared" si="8"/>
        <v>30558203.56587759</v>
      </c>
      <c r="BT33" s="45">
        <f t="shared" si="3"/>
        <v>25271814.491681062</v>
      </c>
      <c r="BU33" s="45">
        <f t="shared" si="3"/>
        <v>5827736.0395554611</v>
      </c>
      <c r="BV33" s="45">
        <f t="shared" si="3"/>
        <v>7560964.9971545218</v>
      </c>
      <c r="BW33" s="45">
        <f t="shared" si="3"/>
        <v>1878123.9955016186</v>
      </c>
      <c r="BX33" s="45">
        <f t="shared" si="3"/>
        <v>14887776.666529486</v>
      </c>
      <c r="BY33" s="45">
        <f t="shared" si="3"/>
        <v>49365950.68569845</v>
      </c>
      <c r="BZ33" s="92">
        <f t="shared" si="4"/>
        <v>4219.4420430351765</v>
      </c>
      <c r="CA33" s="47">
        <f t="shared" si="5"/>
        <v>0.14066289865945475</v>
      </c>
      <c r="CB33" s="42">
        <f t="shared" si="17"/>
        <v>1</v>
      </c>
      <c r="CC33" s="42">
        <f t="shared" si="18"/>
        <v>2</v>
      </c>
      <c r="CD33" s="42">
        <f t="shared" si="18"/>
        <v>3</v>
      </c>
      <c r="CE33" s="42">
        <f t="shared" si="18"/>
        <v>4</v>
      </c>
      <c r="CF33" s="42">
        <f t="shared" si="18"/>
        <v>5</v>
      </c>
      <c r="CG33" s="42">
        <f t="shared" si="18"/>
        <v>6</v>
      </c>
      <c r="CH33" s="42">
        <f t="shared" si="18"/>
        <v>7</v>
      </c>
      <c r="CI33" s="42">
        <f t="shared" si="18"/>
        <v>8</v>
      </c>
      <c r="CJ33" s="42">
        <f t="shared" si="18"/>
        <v>9</v>
      </c>
      <c r="CK33" s="42">
        <f t="shared" si="18"/>
        <v>10</v>
      </c>
      <c r="CL33" s="42">
        <f t="shared" si="18"/>
        <v>11</v>
      </c>
      <c r="CM33" s="42">
        <f t="shared" si="18"/>
        <v>12</v>
      </c>
      <c r="CN33" s="42">
        <f t="shared" si="18"/>
        <v>13</v>
      </c>
      <c r="CO33" s="42">
        <f t="shared" si="18"/>
        <v>14</v>
      </c>
      <c r="CP33" s="42">
        <f t="shared" si="18"/>
        <v>15</v>
      </c>
      <c r="CQ33" s="42">
        <f t="shared" si="18"/>
        <v>16</v>
      </c>
      <c r="CR33" s="42">
        <f t="shared" si="18"/>
        <v>17</v>
      </c>
      <c r="CS33" s="42">
        <f t="shared" si="19"/>
        <v>18</v>
      </c>
      <c r="CT33" s="42">
        <f t="shared" si="19"/>
        <v>19</v>
      </c>
      <c r="CU33" s="42">
        <f t="shared" si="19"/>
        <v>20</v>
      </c>
      <c r="CV33" s="42">
        <f t="shared" si="19"/>
        <v>21</v>
      </c>
      <c r="CW33" s="42">
        <f t="shared" si="19"/>
        <v>22</v>
      </c>
      <c r="CX33" s="42">
        <f t="shared" si="19"/>
        <v>23</v>
      </c>
      <c r="CY33" s="42">
        <f t="shared" si="19"/>
        <v>24</v>
      </c>
      <c r="CZ33" s="42">
        <f t="shared" si="19"/>
        <v>25</v>
      </c>
      <c r="DA33" s="100"/>
      <c r="DB33" s="9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99"/>
      <c r="DS33" s="99"/>
      <c r="DT33" s="99"/>
      <c r="DU33" s="99"/>
      <c r="DV33" s="99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100"/>
      <c r="ET33" s="99"/>
      <c r="EU33" s="99"/>
      <c r="EV33" s="99"/>
      <c r="EW33" s="99"/>
      <c r="EX33" s="99"/>
      <c r="EY33" s="99"/>
      <c r="EZ33" s="99"/>
      <c r="FA33" s="99"/>
      <c r="FB33" s="99"/>
      <c r="FC33" s="99"/>
      <c r="FD33" s="99"/>
      <c r="FE33" s="99"/>
      <c r="FF33" s="99"/>
      <c r="FG33" s="99"/>
      <c r="FH33" s="99"/>
      <c r="FI33" s="99"/>
      <c r="FJ33" s="99"/>
      <c r="FK33" s="99"/>
      <c r="FL33" s="99"/>
      <c r="FM33" s="99"/>
      <c r="FN33" s="99"/>
      <c r="FO33" s="25" t="str">
        <f t="shared" si="6"/>
        <v>linear model3</v>
      </c>
    </row>
    <row r="34" spans="1:171">
      <c r="A34" s="139">
        <f t="shared" si="13"/>
        <v>-8.468735177865625</v>
      </c>
      <c r="B34" s="140">
        <f t="shared" si="14"/>
        <v>1438.658272727273</v>
      </c>
      <c r="C34" s="141"/>
      <c r="D34" s="115"/>
      <c r="E34" s="115"/>
      <c r="F34" s="131"/>
      <c r="G34" s="39" t="s">
        <v>43</v>
      </c>
      <c r="H34" s="40">
        <v>4</v>
      </c>
      <c r="I34" s="41">
        <v>400.44400000000007</v>
      </c>
      <c r="J34" s="41">
        <v>2589.7540000000013</v>
      </c>
      <c r="K34" s="41">
        <v>1336.3789999999999</v>
      </c>
      <c r="L34" s="41">
        <v>1186.7760000000001</v>
      </c>
      <c r="M34" s="41">
        <v>839.32799999999986</v>
      </c>
      <c r="N34" s="41">
        <v>2024.5600000000004</v>
      </c>
      <c r="O34" s="41">
        <v>1502.1150000000002</v>
      </c>
      <c r="P34" s="41">
        <v>1294.5919999999994</v>
      </c>
      <c r="Q34" s="41">
        <v>1067.4629999999997</v>
      </c>
      <c r="R34" s="41">
        <v>2076.5049999999987</v>
      </c>
      <c r="S34" s="41">
        <v>2051.2060000000006</v>
      </c>
      <c r="T34" s="41">
        <v>1039.9769999999999</v>
      </c>
      <c r="U34" s="41">
        <v>922.57100000000003</v>
      </c>
      <c r="V34" s="41">
        <v>380.83800000000002</v>
      </c>
      <c r="W34" s="41">
        <v>2476.893</v>
      </c>
      <c r="X34" s="41">
        <v>453.2119999999997</v>
      </c>
      <c r="Y34" s="41">
        <v>2092.7499999999995</v>
      </c>
      <c r="Z34" s="41">
        <v>823.12700000000018</v>
      </c>
      <c r="AA34" s="41">
        <v>1106.48</v>
      </c>
      <c r="AB34" s="41">
        <v>864.59699999999987</v>
      </c>
      <c r="AC34" s="41">
        <v>1086.4360000000004</v>
      </c>
      <c r="AD34" s="41">
        <v>1891.8890000000001</v>
      </c>
      <c r="AE34" s="150">
        <f t="shared" si="15"/>
        <v>1430.1895375494073</v>
      </c>
      <c r="AF34" s="150">
        <f t="shared" si="15"/>
        <v>1421.7208023715418</v>
      </c>
      <c r="AG34" s="150">
        <f t="shared" si="15"/>
        <v>1413.2520671936761</v>
      </c>
      <c r="AH34" s="150">
        <f t="shared" si="15"/>
        <v>1404.7833320158106</v>
      </c>
      <c r="AI34" s="150">
        <f t="shared" si="15"/>
        <v>1396.3145968379449</v>
      </c>
      <c r="AJ34" s="150">
        <f t="shared" si="15"/>
        <v>1387.8458616600792</v>
      </c>
      <c r="AK34" s="150">
        <f t="shared" si="15"/>
        <v>1379.3771264822137</v>
      </c>
      <c r="AL34" s="150">
        <f t="shared" si="15"/>
        <v>1370.908391304348</v>
      </c>
      <c r="AM34" s="150">
        <f t="shared" si="15"/>
        <v>1362.4396561264823</v>
      </c>
      <c r="AN34" s="150">
        <f t="shared" si="15"/>
        <v>1353.9709209486168</v>
      </c>
      <c r="AO34" s="150">
        <f t="shared" si="15"/>
        <v>1345.5021857707511</v>
      </c>
      <c r="AP34" s="150">
        <f t="shared" si="15"/>
        <v>1337.0334505928854</v>
      </c>
      <c r="AQ34" s="150">
        <f t="shared" si="15"/>
        <v>1328.5647154150199</v>
      </c>
      <c r="AR34" s="150">
        <f t="shared" si="15"/>
        <v>1320.0959802371542</v>
      </c>
      <c r="AS34" s="150">
        <f t="shared" si="15"/>
        <v>1311.6272450592887</v>
      </c>
      <c r="AT34" s="150">
        <f t="shared" si="15"/>
        <v>1303.158509881423</v>
      </c>
      <c r="AU34" s="150">
        <f t="shared" si="16"/>
        <v>1294.6897747035573</v>
      </c>
      <c r="AV34" s="150">
        <f t="shared" si="16"/>
        <v>1286.2210395256918</v>
      </c>
      <c r="AW34" s="150">
        <f t="shared" si="16"/>
        <v>1277.7523043478261</v>
      </c>
      <c r="AX34" s="150">
        <f t="shared" si="16"/>
        <v>1269.2835691699606</v>
      </c>
      <c r="AY34" s="150">
        <f t="shared" si="16"/>
        <v>1260.8148339920949</v>
      </c>
      <c r="AZ34" s="150">
        <f t="shared" si="16"/>
        <v>1252.3460988142292</v>
      </c>
      <c r="BA34" s="148">
        <f t="shared" si="16"/>
        <v>1243.8773636363637</v>
      </c>
      <c r="BB34" s="148">
        <f t="shared" si="16"/>
        <v>1235.408628458498</v>
      </c>
      <c r="BC34" s="148">
        <f t="shared" si="16"/>
        <v>1226.9398932806323</v>
      </c>
      <c r="BD34" s="45">
        <f t="shared" si="9"/>
        <v>1060375.8721029179</v>
      </c>
      <c r="BE34" s="45">
        <f t="shared" si="9"/>
        <v>1364301.5507621637</v>
      </c>
      <c r="BF34" s="45">
        <f t="shared" si="9"/>
        <v>5909.4684597634568</v>
      </c>
      <c r="BG34" s="45">
        <f t="shared" si="9"/>
        <v>47527.196812651862</v>
      </c>
      <c r="BH34" s="45">
        <f t="shared" si="9"/>
        <v>310234.06905711553</v>
      </c>
      <c r="BI34" s="45">
        <f t="shared" si="9"/>
        <v>405404.89396194828</v>
      </c>
      <c r="BJ34" s="45">
        <f t="shared" si="9"/>
        <v>15064.585595668159</v>
      </c>
      <c r="BK34" s="45">
        <f t="shared" si="9"/>
        <v>5824.1915817184545</v>
      </c>
      <c r="BL34" s="45">
        <f t="shared" si="9"/>
        <v>87011.227659561147</v>
      </c>
      <c r="BM34" s="45">
        <f t="shared" si="9"/>
        <v>522055.49539062864</v>
      </c>
      <c r="BN34" s="45">
        <f t="shared" si="9"/>
        <v>498017.87341771106</v>
      </c>
      <c r="BO34" s="45">
        <f t="shared" si="9"/>
        <v>88242.53483884345</v>
      </c>
      <c r="BP34" s="45">
        <f t="shared" si="9"/>
        <v>164830.89695649216</v>
      </c>
      <c r="BQ34" s="45">
        <f t="shared" si="9"/>
        <v>882205.55343917839</v>
      </c>
      <c r="BR34" s="45">
        <f t="shared" si="9"/>
        <v>1357844.2796375458</v>
      </c>
      <c r="BS34" s="45">
        <f t="shared" si="8"/>
        <v>722409.06965961226</v>
      </c>
      <c r="BT34" s="45">
        <f t="shared" si="3"/>
        <v>636900.12320020818</v>
      </c>
      <c r="BU34" s="45">
        <f t="shared" si="3"/>
        <v>214456.08944422286</v>
      </c>
      <c r="BV34" s="45">
        <f t="shared" si="3"/>
        <v>29334.202236614368</v>
      </c>
      <c r="BW34" s="45">
        <f t="shared" si="3"/>
        <v>163771.21926655344</v>
      </c>
      <c r="BX34" s="45">
        <f t="shared" si="3"/>
        <v>30407.977744442465</v>
      </c>
      <c r="BY34" s="45">
        <f t="shared" si="3"/>
        <v>409015.12245711277</v>
      </c>
      <c r="BZ34" s="92">
        <f t="shared" si="4"/>
        <v>640.3530096638699</v>
      </c>
      <c r="CA34" s="47">
        <f t="shared" si="5"/>
        <v>0.33847282248793131</v>
      </c>
      <c r="CB34" s="42">
        <f t="shared" si="17"/>
        <v>1</v>
      </c>
      <c r="CC34" s="42">
        <f t="shared" si="18"/>
        <v>2</v>
      </c>
      <c r="CD34" s="42">
        <f t="shared" si="18"/>
        <v>3</v>
      </c>
      <c r="CE34" s="42">
        <f t="shared" si="18"/>
        <v>4</v>
      </c>
      <c r="CF34" s="42">
        <f t="shared" si="18"/>
        <v>5</v>
      </c>
      <c r="CG34" s="42">
        <f t="shared" si="18"/>
        <v>6</v>
      </c>
      <c r="CH34" s="42">
        <f t="shared" si="18"/>
        <v>7</v>
      </c>
      <c r="CI34" s="42">
        <f t="shared" si="18"/>
        <v>8</v>
      </c>
      <c r="CJ34" s="42">
        <f t="shared" si="18"/>
        <v>9</v>
      </c>
      <c r="CK34" s="42">
        <f t="shared" si="18"/>
        <v>10</v>
      </c>
      <c r="CL34" s="42">
        <f t="shared" si="18"/>
        <v>11</v>
      </c>
      <c r="CM34" s="42">
        <f t="shared" si="18"/>
        <v>12</v>
      </c>
      <c r="CN34" s="42">
        <f t="shared" si="18"/>
        <v>13</v>
      </c>
      <c r="CO34" s="42">
        <f t="shared" si="18"/>
        <v>14</v>
      </c>
      <c r="CP34" s="42">
        <f t="shared" si="18"/>
        <v>15</v>
      </c>
      <c r="CQ34" s="42">
        <f t="shared" si="18"/>
        <v>16</v>
      </c>
      <c r="CR34" s="42">
        <f t="shared" si="18"/>
        <v>17</v>
      </c>
      <c r="CS34" s="42">
        <f t="shared" si="19"/>
        <v>18</v>
      </c>
      <c r="CT34" s="42">
        <f t="shared" si="19"/>
        <v>19</v>
      </c>
      <c r="CU34" s="42">
        <f t="shared" si="19"/>
        <v>20</v>
      </c>
      <c r="CV34" s="42">
        <f t="shared" si="19"/>
        <v>21</v>
      </c>
      <c r="CW34" s="42">
        <f t="shared" si="19"/>
        <v>22</v>
      </c>
      <c r="CX34" s="42">
        <f t="shared" si="19"/>
        <v>23</v>
      </c>
      <c r="CY34" s="42">
        <f t="shared" si="19"/>
        <v>24</v>
      </c>
      <c r="CZ34" s="42">
        <f t="shared" si="19"/>
        <v>25</v>
      </c>
      <c r="DA34" s="100"/>
      <c r="DB34" s="99"/>
      <c r="DC34" s="99"/>
      <c r="DD34" s="99"/>
      <c r="DE34" s="99"/>
      <c r="DF34" s="99"/>
      <c r="DG34" s="99"/>
      <c r="DH34" s="99"/>
      <c r="DI34" s="99"/>
      <c r="DJ34" s="99"/>
      <c r="DK34" s="99"/>
      <c r="DL34" s="99"/>
      <c r="DM34" s="99"/>
      <c r="DN34" s="99"/>
      <c r="DO34" s="99"/>
      <c r="DP34" s="99"/>
      <c r="DQ34" s="99"/>
      <c r="DR34" s="99"/>
      <c r="DS34" s="99"/>
      <c r="DT34" s="99"/>
      <c r="DU34" s="99"/>
      <c r="DV34" s="99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100"/>
      <c r="ET34" s="99"/>
      <c r="EU34" s="99"/>
      <c r="EV34" s="99"/>
      <c r="EW34" s="99"/>
      <c r="EX34" s="99"/>
      <c r="EY34" s="99"/>
      <c r="EZ34" s="99"/>
      <c r="FA34" s="99"/>
      <c r="FB34" s="99"/>
      <c r="FC34" s="99"/>
      <c r="FD34" s="99"/>
      <c r="FE34" s="99"/>
      <c r="FF34" s="99"/>
      <c r="FG34" s="99"/>
      <c r="FH34" s="99"/>
      <c r="FI34" s="99"/>
      <c r="FJ34" s="99"/>
      <c r="FK34" s="99"/>
      <c r="FL34" s="99"/>
      <c r="FM34" s="99"/>
      <c r="FN34" s="99"/>
      <c r="FO34" s="25" t="str">
        <f t="shared" si="6"/>
        <v>linear model4</v>
      </c>
    </row>
    <row r="35" spans="1:171">
      <c r="A35" s="139">
        <f t="shared" si="13"/>
        <v>-3.3187820440429152</v>
      </c>
      <c r="B35" s="140">
        <f t="shared" si="14"/>
        <v>249.86567532467535</v>
      </c>
      <c r="C35" s="141"/>
      <c r="D35" s="115"/>
      <c r="E35" s="115"/>
      <c r="F35" s="124"/>
      <c r="G35" s="39" t="s">
        <v>43</v>
      </c>
      <c r="H35" s="40">
        <v>5</v>
      </c>
      <c r="I35" s="41">
        <v>590.74400000000014</v>
      </c>
      <c r="J35" s="41">
        <v>126.19599999999998</v>
      </c>
      <c r="K35" s="41">
        <v>73.710000000000008</v>
      </c>
      <c r="L35" s="41">
        <v>245.74300000000002</v>
      </c>
      <c r="M35" s="41">
        <v>257</v>
      </c>
      <c r="N35" s="41">
        <v>246</v>
      </c>
      <c r="O35" s="41">
        <v>142</v>
      </c>
      <c r="P35" s="41">
        <v>141</v>
      </c>
      <c r="Q35" s="41">
        <v>140</v>
      </c>
      <c r="R35" s="41">
        <v>269</v>
      </c>
      <c r="S35" s="41">
        <v>255</v>
      </c>
      <c r="T35" s="41">
        <v>268</v>
      </c>
      <c r="U35" s="41">
        <v>148</v>
      </c>
      <c r="V35" s="41">
        <v>141</v>
      </c>
      <c r="W35" s="41">
        <v>130</v>
      </c>
      <c r="X35" s="41">
        <v>256</v>
      </c>
      <c r="Y35" s="41">
        <v>263</v>
      </c>
      <c r="Z35" s="41">
        <v>278</v>
      </c>
      <c r="AA35" s="41">
        <v>133</v>
      </c>
      <c r="AB35" s="41">
        <v>133</v>
      </c>
      <c r="AC35" s="41">
        <v>148</v>
      </c>
      <c r="AD35" s="41">
        <v>273</v>
      </c>
      <c r="AE35" s="150">
        <f t="shared" si="15"/>
        <v>246.54689328063245</v>
      </c>
      <c r="AF35" s="150">
        <f t="shared" si="15"/>
        <v>243.22811123658951</v>
      </c>
      <c r="AG35" s="150">
        <f t="shared" si="15"/>
        <v>239.90932919254661</v>
      </c>
      <c r="AH35" s="150">
        <f t="shared" si="15"/>
        <v>236.5905471485037</v>
      </c>
      <c r="AI35" s="150">
        <f t="shared" si="15"/>
        <v>233.27176510446077</v>
      </c>
      <c r="AJ35" s="150">
        <f t="shared" si="15"/>
        <v>229.95298306041786</v>
      </c>
      <c r="AK35" s="150">
        <f t="shared" si="15"/>
        <v>226.63420101637496</v>
      </c>
      <c r="AL35" s="150">
        <f t="shared" si="15"/>
        <v>223.31541897233203</v>
      </c>
      <c r="AM35" s="150">
        <f t="shared" si="15"/>
        <v>219.99663692828912</v>
      </c>
      <c r="AN35" s="150">
        <f t="shared" si="15"/>
        <v>216.67785488424619</v>
      </c>
      <c r="AO35" s="150">
        <f t="shared" si="15"/>
        <v>213.35907284020328</v>
      </c>
      <c r="AP35" s="150">
        <f t="shared" si="15"/>
        <v>210.04029079616038</v>
      </c>
      <c r="AQ35" s="150">
        <f t="shared" si="15"/>
        <v>206.72150875211744</v>
      </c>
      <c r="AR35" s="150">
        <f t="shared" si="15"/>
        <v>203.40272670807454</v>
      </c>
      <c r="AS35" s="150">
        <f t="shared" si="15"/>
        <v>200.08394466403161</v>
      </c>
      <c r="AT35" s="150">
        <f t="shared" si="15"/>
        <v>196.7651626199887</v>
      </c>
      <c r="AU35" s="150">
        <f t="shared" si="16"/>
        <v>193.4463805759458</v>
      </c>
      <c r="AV35" s="150">
        <f t="shared" si="16"/>
        <v>190.12759853190289</v>
      </c>
      <c r="AW35" s="150">
        <f t="shared" si="16"/>
        <v>186.80881648785996</v>
      </c>
      <c r="AX35" s="150">
        <f t="shared" si="16"/>
        <v>183.49003444381705</v>
      </c>
      <c r="AY35" s="150">
        <f t="shared" si="16"/>
        <v>180.17125239977412</v>
      </c>
      <c r="AZ35" s="150">
        <f t="shared" si="16"/>
        <v>176.85247035573121</v>
      </c>
      <c r="BA35" s="148">
        <f t="shared" si="16"/>
        <v>173.53368831168831</v>
      </c>
      <c r="BB35" s="148">
        <f t="shared" si="16"/>
        <v>170.2149062676454</v>
      </c>
      <c r="BC35" s="148">
        <f t="shared" si="16"/>
        <v>166.89612422360247</v>
      </c>
      <c r="BD35" s="45">
        <f t="shared" si="9"/>
        <v>118471.6482739838</v>
      </c>
      <c r="BE35" s="45">
        <f t="shared" si="9"/>
        <v>13696.515060493464</v>
      </c>
      <c r="BF35" s="45">
        <f t="shared" si="9"/>
        <v>27622.217024052472</v>
      </c>
      <c r="BG35" s="45">
        <f t="shared" si="9"/>
        <v>83.767393198863132</v>
      </c>
      <c r="BH35" s="45">
        <f t="shared" si="9"/>
        <v>563.02913125788564</v>
      </c>
      <c r="BI35" s="45">
        <f t="shared" si="9"/>
        <v>257.50675265923604</v>
      </c>
      <c r="BJ35" s="45">
        <f t="shared" si="9"/>
        <v>7162.947981680164</v>
      </c>
      <c r="BK35" s="45">
        <f t="shared" si="9"/>
        <v>6775.8282005905594</v>
      </c>
      <c r="BL35" s="45">
        <f t="shared" si="9"/>
        <v>6399.4619198365108</v>
      </c>
      <c r="BM35" s="45">
        <f t="shared" si="9"/>
        <v>2737.6068695140007</v>
      </c>
      <c r="BN35" s="45">
        <f t="shared" si="9"/>
        <v>1733.9668147274958</v>
      </c>
      <c r="BO35" s="45">
        <f t="shared" si="9"/>
        <v>3359.3278909936516</v>
      </c>
      <c r="BP35" s="45">
        <f t="shared" si="9"/>
        <v>3448.2155901250057</v>
      </c>
      <c r="BQ35" s="45">
        <f t="shared" si="9"/>
        <v>3894.1003006026394</v>
      </c>
      <c r="BR35" s="45">
        <f t="shared" si="9"/>
        <v>4911.7592996710446</v>
      </c>
      <c r="BS35" s="45">
        <f t="shared" si="8"/>
        <v>3508.765959436384</v>
      </c>
      <c r="BT35" s="45">
        <f t="shared" si="3"/>
        <v>4837.7059749861701</v>
      </c>
      <c r="BU35" s="45">
        <f t="shared" si="3"/>
        <v>7721.5589397704352</v>
      </c>
      <c r="BV35" s="45">
        <f t="shared" si="3"/>
        <v>2895.3887318241896</v>
      </c>
      <c r="BW35" s="45">
        <f t="shared" si="3"/>
        <v>2549.2435781378322</v>
      </c>
      <c r="BX35" s="45">
        <f t="shared" si="3"/>
        <v>1034.989480969972</v>
      </c>
      <c r="BY35" s="45">
        <f t="shared" si="3"/>
        <v>9244.3474566955447</v>
      </c>
      <c r="BZ35" s="92">
        <f t="shared" si="4"/>
        <v>102.89224253496015</v>
      </c>
      <c r="CA35" s="47">
        <f t="shared" si="5"/>
        <v>0.37689466130022031</v>
      </c>
      <c r="CB35" s="42">
        <f t="shared" si="17"/>
        <v>1</v>
      </c>
      <c r="CC35" s="42">
        <f t="shared" si="18"/>
        <v>2</v>
      </c>
      <c r="CD35" s="42">
        <f t="shared" si="18"/>
        <v>3</v>
      </c>
      <c r="CE35" s="42">
        <f t="shared" si="18"/>
        <v>4</v>
      </c>
      <c r="CF35" s="42">
        <f t="shared" si="18"/>
        <v>5</v>
      </c>
      <c r="CG35" s="42">
        <f t="shared" si="18"/>
        <v>6</v>
      </c>
      <c r="CH35" s="42">
        <f t="shared" si="18"/>
        <v>7</v>
      </c>
      <c r="CI35" s="42">
        <f t="shared" si="18"/>
        <v>8</v>
      </c>
      <c r="CJ35" s="42">
        <f t="shared" si="18"/>
        <v>9</v>
      </c>
      <c r="CK35" s="42">
        <f t="shared" si="18"/>
        <v>10</v>
      </c>
      <c r="CL35" s="42">
        <f t="shared" si="18"/>
        <v>11</v>
      </c>
      <c r="CM35" s="42">
        <f t="shared" si="18"/>
        <v>12</v>
      </c>
      <c r="CN35" s="42">
        <f t="shared" si="18"/>
        <v>13</v>
      </c>
      <c r="CO35" s="42">
        <f t="shared" si="18"/>
        <v>14</v>
      </c>
      <c r="CP35" s="42">
        <f t="shared" si="18"/>
        <v>15</v>
      </c>
      <c r="CQ35" s="42">
        <f t="shared" si="18"/>
        <v>16</v>
      </c>
      <c r="CR35" s="42">
        <f t="shared" si="18"/>
        <v>17</v>
      </c>
      <c r="CS35" s="42">
        <f t="shared" si="19"/>
        <v>18</v>
      </c>
      <c r="CT35" s="42">
        <f t="shared" si="19"/>
        <v>19</v>
      </c>
      <c r="CU35" s="42">
        <f t="shared" si="19"/>
        <v>20</v>
      </c>
      <c r="CV35" s="42">
        <f t="shared" si="19"/>
        <v>21</v>
      </c>
      <c r="CW35" s="42">
        <f t="shared" si="19"/>
        <v>22</v>
      </c>
      <c r="CX35" s="42">
        <f t="shared" si="19"/>
        <v>23</v>
      </c>
      <c r="CY35" s="42">
        <f t="shared" si="19"/>
        <v>24</v>
      </c>
      <c r="CZ35" s="42">
        <f t="shared" si="19"/>
        <v>25</v>
      </c>
      <c r="DA35" s="100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42"/>
      <c r="DX35" s="42"/>
      <c r="DY35" s="42"/>
      <c r="DZ35" s="42"/>
      <c r="EA35" s="42"/>
      <c r="EB35" s="42"/>
      <c r="EC35" s="42"/>
      <c r="ED35" s="42"/>
      <c r="EE35" s="42"/>
      <c r="EF35" s="42"/>
      <c r="EG35" s="42"/>
      <c r="EH35" s="42"/>
      <c r="EI35" s="42"/>
      <c r="EJ35" s="42"/>
      <c r="EK35" s="42"/>
      <c r="EL35" s="42"/>
      <c r="EM35" s="42"/>
      <c r="EN35" s="42"/>
      <c r="EO35" s="42"/>
      <c r="EP35" s="42"/>
      <c r="EQ35" s="42"/>
      <c r="ER35" s="42"/>
      <c r="ES35" s="100"/>
      <c r="ET35" s="99"/>
      <c r="EU35" s="99"/>
      <c r="EV35" s="99"/>
      <c r="EW35" s="99"/>
      <c r="EX35" s="99"/>
      <c r="EY35" s="99"/>
      <c r="EZ35" s="99"/>
      <c r="FA35" s="99"/>
      <c r="FB35" s="99"/>
      <c r="FC35" s="99"/>
      <c r="FD35" s="99"/>
      <c r="FE35" s="99"/>
      <c r="FF35" s="99"/>
      <c r="FG35" s="99"/>
      <c r="FH35" s="99"/>
      <c r="FI35" s="99"/>
      <c r="FJ35" s="99"/>
      <c r="FK35" s="99"/>
      <c r="FL35" s="99"/>
      <c r="FM35" s="99"/>
      <c r="FN35" s="99"/>
      <c r="FO35" s="25" t="str">
        <f t="shared" si="6"/>
        <v>linear model5</v>
      </c>
    </row>
    <row r="36" spans="1:171">
      <c r="A36" s="139">
        <f t="shared" si="13"/>
        <v>40.33874411764706</v>
      </c>
      <c r="B36" s="140">
        <f t="shared" si="14"/>
        <v>316.97917499999994</v>
      </c>
      <c r="C36" s="141"/>
      <c r="D36" s="115"/>
      <c r="E36" s="115"/>
      <c r="F36" s="131"/>
      <c r="G36" s="39" t="s">
        <v>43</v>
      </c>
      <c r="H36" s="40">
        <v>6</v>
      </c>
      <c r="I36" s="41"/>
      <c r="J36" s="41"/>
      <c r="K36" s="41"/>
      <c r="L36" s="41"/>
      <c r="M36" s="41"/>
      <c r="N36" s="41"/>
      <c r="O36" s="41">
        <v>266.03799999999995</v>
      </c>
      <c r="P36" s="41">
        <v>232.57400000000007</v>
      </c>
      <c r="Q36" s="41">
        <v>115.23299999999999</v>
      </c>
      <c r="R36" s="41">
        <v>203.98799999999997</v>
      </c>
      <c r="S36" s="41">
        <v>180.53700000000001</v>
      </c>
      <c r="T36" s="41">
        <v>869.18299999999977</v>
      </c>
      <c r="U36" s="41">
        <v>1078.4489999999998</v>
      </c>
      <c r="V36" s="41">
        <v>1258.0669999999996</v>
      </c>
      <c r="W36" s="41">
        <v>1027.184</v>
      </c>
      <c r="X36" s="41">
        <v>624.39099999999996</v>
      </c>
      <c r="Y36" s="41">
        <v>1201.8340000000001</v>
      </c>
      <c r="Z36" s="41">
        <v>548.27800000000002</v>
      </c>
      <c r="AA36" s="41">
        <v>1219.8130000000006</v>
      </c>
      <c r="AB36" s="41">
        <v>393.93799999999987</v>
      </c>
      <c r="AC36" s="41">
        <v>240.81100000000015</v>
      </c>
      <c r="AD36" s="41">
        <v>1097.4179999999999</v>
      </c>
      <c r="AE36" s="150" t="str">
        <f t="shared" si="15"/>
        <v/>
      </c>
      <c r="AF36" s="150" t="str">
        <f t="shared" si="15"/>
        <v/>
      </c>
      <c r="AG36" s="150" t="str">
        <f t="shared" si="15"/>
        <v/>
      </c>
      <c r="AH36" s="150" t="str">
        <f t="shared" si="15"/>
        <v/>
      </c>
      <c r="AI36" s="150" t="str">
        <f t="shared" si="15"/>
        <v/>
      </c>
      <c r="AJ36" s="150" t="str">
        <f t="shared" si="15"/>
        <v/>
      </c>
      <c r="AK36" s="150">
        <f t="shared" si="15"/>
        <v>357.31791911764702</v>
      </c>
      <c r="AL36" s="150">
        <f t="shared" si="15"/>
        <v>397.65666323529405</v>
      </c>
      <c r="AM36" s="150">
        <f t="shared" si="15"/>
        <v>437.99540735294113</v>
      </c>
      <c r="AN36" s="150">
        <f t="shared" si="15"/>
        <v>478.33415147058815</v>
      </c>
      <c r="AO36" s="150">
        <f t="shared" si="15"/>
        <v>518.67289558823518</v>
      </c>
      <c r="AP36" s="150">
        <f t="shared" si="15"/>
        <v>559.01163970588232</v>
      </c>
      <c r="AQ36" s="150">
        <f t="shared" si="15"/>
        <v>599.35038382352934</v>
      </c>
      <c r="AR36" s="150">
        <f t="shared" si="15"/>
        <v>639.68912794117637</v>
      </c>
      <c r="AS36" s="150">
        <f t="shared" si="15"/>
        <v>680.0278720588235</v>
      </c>
      <c r="AT36" s="150">
        <f t="shared" si="15"/>
        <v>720.36661617647053</v>
      </c>
      <c r="AU36" s="150">
        <f t="shared" si="16"/>
        <v>760.70536029411755</v>
      </c>
      <c r="AV36" s="150">
        <f t="shared" si="16"/>
        <v>801.04410441176469</v>
      </c>
      <c r="AW36" s="150">
        <f t="shared" si="16"/>
        <v>841.38284852941172</v>
      </c>
      <c r="AX36" s="150">
        <f t="shared" si="16"/>
        <v>881.72159264705874</v>
      </c>
      <c r="AY36" s="150">
        <f t="shared" si="16"/>
        <v>922.06033676470588</v>
      </c>
      <c r="AZ36" s="150">
        <f t="shared" si="16"/>
        <v>962.39908088235291</v>
      </c>
      <c r="BA36" s="148">
        <f t="shared" si="16"/>
        <v>1002.7378249999999</v>
      </c>
      <c r="BB36" s="148">
        <f t="shared" si="16"/>
        <v>1043.0765691176471</v>
      </c>
      <c r="BC36" s="148">
        <f t="shared" si="16"/>
        <v>1083.415313235294</v>
      </c>
      <c r="BD36" s="45" t="str">
        <f t="shared" si="9"/>
        <v/>
      </c>
      <c r="BE36" s="45" t="str">
        <f t="shared" si="9"/>
        <v/>
      </c>
      <c r="BF36" s="45" t="str">
        <f t="shared" si="9"/>
        <v/>
      </c>
      <c r="BG36" s="45" t="str">
        <f t="shared" si="9"/>
        <v/>
      </c>
      <c r="BH36" s="45" t="str">
        <f t="shared" si="9"/>
        <v/>
      </c>
      <c r="BI36" s="45" t="str">
        <f t="shared" si="9"/>
        <v/>
      </c>
      <c r="BJ36" s="45">
        <f t="shared" si="9"/>
        <v>8332.0236341241907</v>
      </c>
      <c r="BK36" s="45">
        <f t="shared" si="9"/>
        <v>27252.285700857483</v>
      </c>
      <c r="BL36" s="45">
        <f t="shared" si="9"/>
        <v>104175.5716002659</v>
      </c>
      <c r="BM36" s="45">
        <f t="shared" si="9"/>
        <v>75265.810826722925</v>
      </c>
      <c r="BN36" s="45">
        <f t="shared" si="9"/>
        <v>114335.88388525786</v>
      </c>
      <c r="BO36" s="45">
        <f t="shared" si="9"/>
        <v>96206.272746703224</v>
      </c>
      <c r="BP36" s="45">
        <f t="shared" si="9"/>
        <v>229535.48402220901</v>
      </c>
      <c r="BQ36" s="45">
        <f t="shared" si="9"/>
        <v>382391.19265199831</v>
      </c>
      <c r="BR36" s="45">
        <f t="shared" si="9"/>
        <v>120517.37716711048</v>
      </c>
      <c r="BS36" s="45">
        <f t="shared" si="8"/>
        <v>9211.3189004531996</v>
      </c>
      <c r="BT36" s="45">
        <f t="shared" si="8"/>
        <v>194594.47676876231</v>
      </c>
      <c r="BU36" s="45">
        <f t="shared" si="8"/>
        <v>63890.703539499118</v>
      </c>
      <c r="BV36" s="45">
        <f t="shared" si="8"/>
        <v>143209.3795420528</v>
      </c>
      <c r="BW36" s="45">
        <f t="shared" si="8"/>
        <v>237932.83325567187</v>
      </c>
      <c r="BX36" s="45">
        <f t="shared" si="8"/>
        <v>464100.65884235146</v>
      </c>
      <c r="BY36" s="45">
        <f t="shared" si="8"/>
        <v>18230.1085196977</v>
      </c>
      <c r="BZ36" s="92">
        <f t="shared" si="4"/>
        <v>378.25102293349266</v>
      </c>
      <c r="CA36" s="47">
        <f t="shared" si="5"/>
        <v>0.34467360926601598</v>
      </c>
      <c r="CB36" s="42" t="str">
        <f t="shared" si="17"/>
        <v/>
      </c>
      <c r="CC36" s="42" t="str">
        <f t="shared" si="18"/>
        <v/>
      </c>
      <c r="CD36" s="42" t="str">
        <f t="shared" si="18"/>
        <v/>
      </c>
      <c r="CE36" s="42" t="str">
        <f t="shared" si="18"/>
        <v/>
      </c>
      <c r="CF36" s="42" t="str">
        <f t="shared" si="18"/>
        <v/>
      </c>
      <c r="CG36" s="42" t="str">
        <f t="shared" si="18"/>
        <v/>
      </c>
      <c r="CH36" s="42">
        <f t="shared" si="18"/>
        <v>1</v>
      </c>
      <c r="CI36" s="42">
        <f t="shared" si="18"/>
        <v>2</v>
      </c>
      <c r="CJ36" s="42">
        <f t="shared" si="18"/>
        <v>3</v>
      </c>
      <c r="CK36" s="42">
        <f t="shared" si="18"/>
        <v>4</v>
      </c>
      <c r="CL36" s="42">
        <f t="shared" si="18"/>
        <v>5</v>
      </c>
      <c r="CM36" s="42">
        <f t="shared" si="18"/>
        <v>6</v>
      </c>
      <c r="CN36" s="42">
        <f t="shared" si="18"/>
        <v>7</v>
      </c>
      <c r="CO36" s="42">
        <f t="shared" si="18"/>
        <v>8</v>
      </c>
      <c r="CP36" s="42">
        <f t="shared" si="18"/>
        <v>9</v>
      </c>
      <c r="CQ36" s="42">
        <f t="shared" si="18"/>
        <v>10</v>
      </c>
      <c r="CR36" s="42">
        <f t="shared" si="18"/>
        <v>11</v>
      </c>
      <c r="CS36" s="42">
        <f t="shared" si="19"/>
        <v>12</v>
      </c>
      <c r="CT36" s="42">
        <f t="shared" si="19"/>
        <v>13</v>
      </c>
      <c r="CU36" s="42">
        <f t="shared" si="19"/>
        <v>14</v>
      </c>
      <c r="CV36" s="42">
        <f t="shared" si="19"/>
        <v>15</v>
      </c>
      <c r="CW36" s="42">
        <f t="shared" si="19"/>
        <v>16</v>
      </c>
      <c r="CX36" s="42">
        <f t="shared" si="19"/>
        <v>17</v>
      </c>
      <c r="CY36" s="42">
        <f t="shared" si="19"/>
        <v>18</v>
      </c>
      <c r="CZ36" s="42">
        <f t="shared" si="19"/>
        <v>19</v>
      </c>
      <c r="DA36" s="100"/>
      <c r="DB36" s="99"/>
      <c r="DC36" s="99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99"/>
      <c r="DR36" s="99"/>
      <c r="DS36" s="99"/>
      <c r="DT36" s="99"/>
      <c r="DU36" s="99"/>
      <c r="DV36" s="99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100"/>
      <c r="ET36" s="99"/>
      <c r="EU36" s="99"/>
      <c r="EV36" s="99"/>
      <c r="EW36" s="99"/>
      <c r="EX36" s="99"/>
      <c r="EY36" s="99"/>
      <c r="EZ36" s="99"/>
      <c r="FA36" s="99"/>
      <c r="FB36" s="99"/>
      <c r="FC36" s="99"/>
      <c r="FD36" s="99"/>
      <c r="FE36" s="99"/>
      <c r="FF36" s="99"/>
      <c r="FG36" s="99"/>
      <c r="FH36" s="99"/>
      <c r="FI36" s="99"/>
      <c r="FJ36" s="99"/>
      <c r="FK36" s="99"/>
      <c r="FL36" s="99"/>
      <c r="FM36" s="99"/>
      <c r="FN36" s="99"/>
      <c r="FO36" s="25" t="str">
        <f t="shared" si="6"/>
        <v>linear model6</v>
      </c>
    </row>
    <row r="37" spans="1:171">
      <c r="A37" s="139">
        <f t="shared" si="13"/>
        <v>-1.5531869000564655</v>
      </c>
      <c r="B37" s="140">
        <f t="shared" si="14"/>
        <v>173.99201298701297</v>
      </c>
      <c r="C37" s="141"/>
      <c r="D37" s="115"/>
      <c r="E37" s="115"/>
      <c r="F37" s="124"/>
      <c r="G37" s="39" t="s">
        <v>43</v>
      </c>
      <c r="H37" s="40">
        <v>7</v>
      </c>
      <c r="I37" s="41">
        <v>198</v>
      </c>
      <c r="J37" s="41">
        <v>186</v>
      </c>
      <c r="K37" s="41">
        <v>177.429</v>
      </c>
      <c r="L37" s="41">
        <v>157</v>
      </c>
      <c r="M37" s="41">
        <v>126.622</v>
      </c>
      <c r="N37" s="41">
        <v>177.429</v>
      </c>
      <c r="O37" s="41">
        <v>157</v>
      </c>
      <c r="P37" s="41">
        <v>126.622</v>
      </c>
      <c r="Q37" s="41">
        <v>177.429</v>
      </c>
      <c r="R37" s="41">
        <v>157</v>
      </c>
      <c r="S37" s="41">
        <v>126.622</v>
      </c>
      <c r="T37" s="41">
        <v>177.429</v>
      </c>
      <c r="U37" s="41">
        <v>157</v>
      </c>
      <c r="V37" s="41">
        <v>126.622</v>
      </c>
      <c r="W37" s="41">
        <v>128.38799999999998</v>
      </c>
      <c r="X37" s="41">
        <v>203.08599999999998</v>
      </c>
      <c r="Y37" s="41">
        <v>177.429</v>
      </c>
      <c r="Z37" s="41">
        <v>157</v>
      </c>
      <c r="AA37" s="41">
        <v>126.622</v>
      </c>
      <c r="AB37" s="41">
        <v>165</v>
      </c>
      <c r="AC37" s="41">
        <v>121.236</v>
      </c>
      <c r="AD37" s="41">
        <v>127.90299999999999</v>
      </c>
      <c r="AE37" s="150">
        <f t="shared" si="15"/>
        <v>172.43882608695651</v>
      </c>
      <c r="AF37" s="150">
        <f t="shared" si="15"/>
        <v>170.88563918690005</v>
      </c>
      <c r="AG37" s="150">
        <f t="shared" si="15"/>
        <v>169.33245228684356</v>
      </c>
      <c r="AH37" s="150">
        <f t="shared" si="15"/>
        <v>167.7792653867871</v>
      </c>
      <c r="AI37" s="150">
        <f t="shared" si="15"/>
        <v>166.22607848673064</v>
      </c>
      <c r="AJ37" s="150">
        <f t="shared" si="15"/>
        <v>164.67289158667418</v>
      </c>
      <c r="AK37" s="150">
        <f t="shared" si="15"/>
        <v>163.11970468661772</v>
      </c>
      <c r="AL37" s="150">
        <f t="shared" si="15"/>
        <v>161.56651778656123</v>
      </c>
      <c r="AM37" s="150">
        <f t="shared" si="15"/>
        <v>160.01333088650478</v>
      </c>
      <c r="AN37" s="150">
        <f t="shared" si="15"/>
        <v>158.46014398644832</v>
      </c>
      <c r="AO37" s="150">
        <f t="shared" si="15"/>
        <v>156.90695708639186</v>
      </c>
      <c r="AP37" s="150">
        <f t="shared" si="15"/>
        <v>155.3537701863354</v>
      </c>
      <c r="AQ37" s="150">
        <f t="shared" si="15"/>
        <v>153.80058328627891</v>
      </c>
      <c r="AR37" s="150">
        <f t="shared" si="15"/>
        <v>152.24739638622245</v>
      </c>
      <c r="AS37" s="150">
        <f t="shared" si="15"/>
        <v>150.69420948616599</v>
      </c>
      <c r="AT37" s="150">
        <f t="shared" si="15"/>
        <v>149.14102258610953</v>
      </c>
      <c r="AU37" s="150">
        <f t="shared" si="16"/>
        <v>147.58783568605304</v>
      </c>
      <c r="AV37" s="150">
        <f t="shared" si="16"/>
        <v>146.03464878599658</v>
      </c>
      <c r="AW37" s="150">
        <f t="shared" si="16"/>
        <v>144.48146188594012</v>
      </c>
      <c r="AX37" s="150">
        <f t="shared" si="16"/>
        <v>142.92827498588366</v>
      </c>
      <c r="AY37" s="150">
        <f t="shared" si="16"/>
        <v>141.3750880858272</v>
      </c>
      <c r="AZ37" s="150">
        <f t="shared" si="16"/>
        <v>139.82190118577074</v>
      </c>
      <c r="BA37" s="148">
        <f t="shared" si="16"/>
        <v>138.26871428571425</v>
      </c>
      <c r="BB37" s="148">
        <f t="shared" si="16"/>
        <v>136.71552738565779</v>
      </c>
      <c r="BC37" s="148">
        <f t="shared" si="16"/>
        <v>135.16234048560133</v>
      </c>
      <c r="BD37" s="45">
        <f t="shared" ref="BD37:BS53" si="20">IF(AE37="","",(AE37-I37)^2)</f>
        <v>653.37361181285507</v>
      </c>
      <c r="BE37" s="45">
        <f t="shared" si="20"/>
        <v>228.44390278857136</v>
      </c>
      <c r="BF37" s="45">
        <f t="shared" si="20"/>
        <v>65.55408487141878</v>
      </c>
      <c r="BG37" s="45">
        <f t="shared" si="20"/>
        <v>116.1925622787865</v>
      </c>
      <c r="BH37" s="45">
        <f t="shared" si="20"/>
        <v>1568.483032783121</v>
      </c>
      <c r="BI37" s="45">
        <f t="shared" si="20"/>
        <v>162.71830185252173</v>
      </c>
      <c r="BJ37" s="45">
        <f t="shared" si="20"/>
        <v>37.450785451410923</v>
      </c>
      <c r="BK37" s="45">
        <f t="shared" si="20"/>
        <v>1221.1193233352944</v>
      </c>
      <c r="BL37" s="45">
        <f t="shared" si="20"/>
        <v>303.30553067075164</v>
      </c>
      <c r="BM37" s="45">
        <f t="shared" si="20"/>
        <v>2.1320204611611784</v>
      </c>
      <c r="BN37" s="45">
        <f t="shared" si="20"/>
        <v>917.17862572459626</v>
      </c>
      <c r="BO37" s="45">
        <f t="shared" si="20"/>
        <v>487.3157713261067</v>
      </c>
      <c r="BP37" s="45">
        <f t="shared" si="20"/>
        <v>10.236267308037874</v>
      </c>
      <c r="BQ37" s="45">
        <f t="shared" si="20"/>
        <v>656.66093995102256</v>
      </c>
      <c r="BR37" s="45">
        <f t="shared" si="20"/>
        <v>497.56698164072253</v>
      </c>
      <c r="BS37" s="45">
        <f t="shared" si="8"/>
        <v>2910.0605881851516</v>
      </c>
      <c r="BT37" s="45">
        <f t="shared" si="8"/>
        <v>890.4950876119816</v>
      </c>
      <c r="BU37" s="45">
        <f t="shared" si="8"/>
        <v>120.23892724644627</v>
      </c>
      <c r="BV37" s="45">
        <f t="shared" si="8"/>
        <v>318.96037885534787</v>
      </c>
      <c r="BW37" s="45">
        <f t="shared" si="8"/>
        <v>487.16104509876891</v>
      </c>
      <c r="BX37" s="45">
        <f t="shared" si="8"/>
        <v>405.58286892870694</v>
      </c>
      <c r="BY37" s="45">
        <f t="shared" si="8"/>
        <v>142.0602054761674</v>
      </c>
      <c r="BZ37" s="92">
        <f t="shared" si="4"/>
        <v>23.550999634891923</v>
      </c>
      <c r="CA37" s="47">
        <f t="shared" si="5"/>
        <v>0.18413172196814714</v>
      </c>
      <c r="CB37" s="42">
        <f t="shared" si="17"/>
        <v>1</v>
      </c>
      <c r="CC37" s="42">
        <f t="shared" si="18"/>
        <v>2</v>
      </c>
      <c r="CD37" s="42">
        <f t="shared" si="18"/>
        <v>3</v>
      </c>
      <c r="CE37" s="42">
        <f t="shared" si="18"/>
        <v>4</v>
      </c>
      <c r="CF37" s="42">
        <f t="shared" si="18"/>
        <v>5</v>
      </c>
      <c r="CG37" s="42">
        <f t="shared" si="18"/>
        <v>6</v>
      </c>
      <c r="CH37" s="42">
        <f t="shared" si="18"/>
        <v>7</v>
      </c>
      <c r="CI37" s="42">
        <f t="shared" si="18"/>
        <v>8</v>
      </c>
      <c r="CJ37" s="42">
        <f t="shared" si="18"/>
        <v>9</v>
      </c>
      <c r="CK37" s="42">
        <f t="shared" si="18"/>
        <v>10</v>
      </c>
      <c r="CL37" s="42">
        <f t="shared" si="18"/>
        <v>11</v>
      </c>
      <c r="CM37" s="42">
        <f t="shared" si="18"/>
        <v>12</v>
      </c>
      <c r="CN37" s="42">
        <f t="shared" si="18"/>
        <v>13</v>
      </c>
      <c r="CO37" s="42">
        <f t="shared" si="18"/>
        <v>14</v>
      </c>
      <c r="CP37" s="42">
        <f t="shared" si="18"/>
        <v>15</v>
      </c>
      <c r="CQ37" s="42">
        <f t="shared" si="18"/>
        <v>16</v>
      </c>
      <c r="CR37" s="42">
        <f t="shared" si="18"/>
        <v>17</v>
      </c>
      <c r="CS37" s="42">
        <f t="shared" si="19"/>
        <v>18</v>
      </c>
      <c r="CT37" s="42">
        <f t="shared" si="19"/>
        <v>19</v>
      </c>
      <c r="CU37" s="42">
        <f t="shared" si="19"/>
        <v>20</v>
      </c>
      <c r="CV37" s="42">
        <f t="shared" si="19"/>
        <v>21</v>
      </c>
      <c r="CW37" s="42">
        <f t="shared" si="19"/>
        <v>22</v>
      </c>
      <c r="CX37" s="42">
        <f t="shared" si="19"/>
        <v>23</v>
      </c>
      <c r="CY37" s="42">
        <f t="shared" si="19"/>
        <v>24</v>
      </c>
      <c r="CZ37" s="42">
        <f t="shared" si="19"/>
        <v>25</v>
      </c>
      <c r="DA37" s="100"/>
      <c r="DB37" s="99"/>
      <c r="DC37" s="99"/>
      <c r="DD37" s="99"/>
      <c r="DE37" s="99"/>
      <c r="DF37" s="99"/>
      <c r="DG37" s="99"/>
      <c r="DH37" s="99"/>
      <c r="DI37" s="99"/>
      <c r="DJ37" s="99"/>
      <c r="DK37" s="99"/>
      <c r="DL37" s="99"/>
      <c r="DM37" s="99"/>
      <c r="DN37" s="99"/>
      <c r="DO37" s="99"/>
      <c r="DP37" s="99"/>
      <c r="DQ37" s="99"/>
      <c r="DR37" s="99"/>
      <c r="DS37" s="99"/>
      <c r="DT37" s="99"/>
      <c r="DU37" s="99"/>
      <c r="DV37" s="99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100"/>
      <c r="ET37" s="99"/>
      <c r="EU37" s="99"/>
      <c r="EV37" s="99"/>
      <c r="EW37" s="99"/>
      <c r="EX37" s="99"/>
      <c r="EY37" s="99"/>
      <c r="EZ37" s="99"/>
      <c r="FA37" s="99"/>
      <c r="FB37" s="99"/>
      <c r="FC37" s="99"/>
      <c r="FD37" s="99"/>
      <c r="FE37" s="99"/>
      <c r="FF37" s="99"/>
      <c r="FG37" s="99"/>
      <c r="FH37" s="99"/>
      <c r="FI37" s="99"/>
      <c r="FJ37" s="99"/>
      <c r="FK37" s="99"/>
      <c r="FL37" s="99"/>
      <c r="FM37" s="99"/>
      <c r="FN37" s="99"/>
      <c r="FO37" s="25" t="str">
        <f t="shared" si="6"/>
        <v>linear model7</v>
      </c>
    </row>
    <row r="38" spans="1:171">
      <c r="A38" s="139">
        <f t="shared" si="13"/>
        <v>12.272138502713743</v>
      </c>
      <c r="B38" s="140">
        <f t="shared" si="14"/>
        <v>10.349900779235099</v>
      </c>
      <c r="C38" s="141"/>
      <c r="D38" s="115"/>
      <c r="E38" s="115"/>
      <c r="F38" s="131"/>
      <c r="G38" s="39" t="s">
        <v>43</v>
      </c>
      <c r="H38" s="40">
        <v>8</v>
      </c>
      <c r="I38" s="41">
        <v>6.597999999999999</v>
      </c>
      <c r="J38" s="41">
        <v>14.509</v>
      </c>
      <c r="K38" s="41">
        <v>34</v>
      </c>
      <c r="L38" s="41">
        <v>36.616999999999976</v>
      </c>
      <c r="M38" s="41">
        <v>48.298000000000044</v>
      </c>
      <c r="N38" s="41">
        <v>50.913000000000054</v>
      </c>
      <c r="O38" s="41">
        <v>169.95999999999992</v>
      </c>
      <c r="P38" s="41">
        <v>158.32199999999997</v>
      </c>
      <c r="Q38" s="41">
        <v>169.77099999999999</v>
      </c>
      <c r="R38" s="41">
        <v>180</v>
      </c>
      <c r="S38" s="41">
        <v>127</v>
      </c>
      <c r="T38" s="41">
        <v>143.11099999999993</v>
      </c>
      <c r="U38" s="41">
        <v>167</v>
      </c>
      <c r="V38" s="41">
        <v>150</v>
      </c>
      <c r="W38" s="41">
        <v>199.79</v>
      </c>
      <c r="X38" s="41">
        <v>203.78579999999999</v>
      </c>
      <c r="Y38" s="41">
        <v>216.01294799999999</v>
      </c>
      <c r="Z38" s="41">
        <v>233.29398384000001</v>
      </c>
      <c r="AA38" s="41">
        <v>235.6269236784</v>
      </c>
      <c r="AB38" s="41">
        <v>245.05200062553601</v>
      </c>
      <c r="AC38" s="41">
        <v>259.75512066306817</v>
      </c>
      <c r="AD38" s="41">
        <v>283.13308152274431</v>
      </c>
      <c r="AE38" s="150">
        <f t="shared" si="15"/>
        <v>22.622039281948844</v>
      </c>
      <c r="AF38" s="150">
        <f t="shared" si="15"/>
        <v>34.894177784662588</v>
      </c>
      <c r="AG38" s="150">
        <f t="shared" si="15"/>
        <v>47.166316287376326</v>
      </c>
      <c r="AH38" s="150">
        <f t="shared" si="15"/>
        <v>59.43845479009007</v>
      </c>
      <c r="AI38" s="150">
        <f t="shared" si="15"/>
        <v>71.710593292803821</v>
      </c>
      <c r="AJ38" s="150">
        <f t="shared" si="15"/>
        <v>83.982731795517552</v>
      </c>
      <c r="AK38" s="150">
        <f t="shared" si="15"/>
        <v>96.254870298231296</v>
      </c>
      <c r="AL38" s="150">
        <f t="shared" si="15"/>
        <v>108.52700880094504</v>
      </c>
      <c r="AM38" s="150">
        <f t="shared" si="15"/>
        <v>120.79914730365878</v>
      </c>
      <c r="AN38" s="150">
        <f t="shared" si="15"/>
        <v>133.07128580637254</v>
      </c>
      <c r="AO38" s="150">
        <f t="shared" si="15"/>
        <v>145.34342430908626</v>
      </c>
      <c r="AP38" s="150">
        <f t="shared" si="15"/>
        <v>157.6155628118</v>
      </c>
      <c r="AQ38" s="150">
        <f t="shared" si="15"/>
        <v>169.88770131451375</v>
      </c>
      <c r="AR38" s="150">
        <f t="shared" si="15"/>
        <v>182.15983981722749</v>
      </c>
      <c r="AS38" s="150">
        <f t="shared" si="15"/>
        <v>194.43197831994124</v>
      </c>
      <c r="AT38" s="150">
        <f t="shared" si="15"/>
        <v>206.70411682265498</v>
      </c>
      <c r="AU38" s="150">
        <f t="shared" si="16"/>
        <v>218.97625532536873</v>
      </c>
      <c r="AV38" s="150">
        <f t="shared" si="16"/>
        <v>231.24839382808247</v>
      </c>
      <c r="AW38" s="150">
        <f t="shared" si="16"/>
        <v>243.52053233079621</v>
      </c>
      <c r="AX38" s="150">
        <f t="shared" si="16"/>
        <v>255.79267083350996</v>
      </c>
      <c r="AY38" s="150">
        <f t="shared" si="16"/>
        <v>268.06480933622368</v>
      </c>
      <c r="AZ38" s="150">
        <f t="shared" si="16"/>
        <v>280.33694783893742</v>
      </c>
      <c r="BA38" s="148">
        <f t="shared" si="16"/>
        <v>292.60908634165116</v>
      </c>
      <c r="BB38" s="148">
        <f t="shared" si="16"/>
        <v>304.88122484436491</v>
      </c>
      <c r="BC38" s="148">
        <f t="shared" si="16"/>
        <v>317.15336334707865</v>
      </c>
      <c r="BD38" s="45">
        <f t="shared" si="20"/>
        <v>256.76983490943962</v>
      </c>
      <c r="BE38" s="45">
        <f t="shared" si="20"/>
        <v>415.5554733123011</v>
      </c>
      <c r="BF38" s="45">
        <f t="shared" si="20"/>
        <v>173.3518845792311</v>
      </c>
      <c r="BG38" s="45">
        <f t="shared" si="20"/>
        <v>520.81879873612604</v>
      </c>
      <c r="BH38" s="45">
        <f t="shared" si="20"/>
        <v>548.14952469424043</v>
      </c>
      <c r="BI38" s="45">
        <f t="shared" si="20"/>
        <v>1093.607161027461</v>
      </c>
      <c r="BJ38" s="45">
        <f t="shared" si="20"/>
        <v>5432.446144354536</v>
      </c>
      <c r="BK38" s="45">
        <f t="shared" si="20"/>
        <v>2479.5411485139584</v>
      </c>
      <c r="BL38" s="45">
        <f t="shared" si="20"/>
        <v>2398.2423565121412</v>
      </c>
      <c r="BM38" s="45">
        <f t="shared" si="20"/>
        <v>2202.304215867171</v>
      </c>
      <c r="BN38" s="45">
        <f t="shared" si="20"/>
        <v>336.48121538317673</v>
      </c>
      <c r="BO38" s="45">
        <f t="shared" si="20"/>
        <v>210.38234236145357</v>
      </c>
      <c r="BP38" s="45">
        <f t="shared" si="20"/>
        <v>8.3388188818444302</v>
      </c>
      <c r="BQ38" s="45">
        <f t="shared" si="20"/>
        <v>1034.2552970697309</v>
      </c>
      <c r="BR38" s="45">
        <f t="shared" si="20"/>
        <v>28.708396323979645</v>
      </c>
      <c r="BS38" s="45">
        <f t="shared" si="8"/>
        <v>8.5165730773910973</v>
      </c>
      <c r="BT38" s="45">
        <f t="shared" si="8"/>
        <v>8.7811903045839852</v>
      </c>
      <c r="BU38" s="45">
        <f t="shared" si="8"/>
        <v>4.1844384968568002</v>
      </c>
      <c r="BV38" s="45">
        <f t="shared" si="8"/>
        <v>62.309057557184317</v>
      </c>
      <c r="BW38" s="45">
        <f t="shared" si="8"/>
        <v>115.36199651645914</v>
      </c>
      <c r="BX38" s="45">
        <f t="shared" si="8"/>
        <v>69.050925844768912</v>
      </c>
      <c r="BY38" s="45">
        <f t="shared" si="8"/>
        <v>7.8183635777194667</v>
      </c>
      <c r="BZ38" s="92">
        <f t="shared" si="4"/>
        <v>28.135205346764845</v>
      </c>
      <c r="CA38" s="47">
        <f t="shared" si="5"/>
        <v>9.9370957273690122E-2</v>
      </c>
      <c r="CB38" s="42">
        <f t="shared" si="17"/>
        <v>1</v>
      </c>
      <c r="CC38" s="42">
        <f t="shared" si="18"/>
        <v>2</v>
      </c>
      <c r="CD38" s="42">
        <f t="shared" si="18"/>
        <v>3</v>
      </c>
      <c r="CE38" s="42">
        <f t="shared" si="18"/>
        <v>4</v>
      </c>
      <c r="CF38" s="42">
        <f t="shared" si="18"/>
        <v>5</v>
      </c>
      <c r="CG38" s="42">
        <f t="shared" si="18"/>
        <v>6</v>
      </c>
      <c r="CH38" s="42">
        <f t="shared" si="18"/>
        <v>7</v>
      </c>
      <c r="CI38" s="42">
        <f t="shared" si="18"/>
        <v>8</v>
      </c>
      <c r="CJ38" s="42">
        <f t="shared" si="18"/>
        <v>9</v>
      </c>
      <c r="CK38" s="42">
        <f t="shared" si="18"/>
        <v>10</v>
      </c>
      <c r="CL38" s="42">
        <f t="shared" si="18"/>
        <v>11</v>
      </c>
      <c r="CM38" s="42">
        <f t="shared" si="18"/>
        <v>12</v>
      </c>
      <c r="CN38" s="42">
        <f t="shared" si="18"/>
        <v>13</v>
      </c>
      <c r="CO38" s="42">
        <f t="shared" si="18"/>
        <v>14</v>
      </c>
      <c r="CP38" s="42">
        <f t="shared" si="18"/>
        <v>15</v>
      </c>
      <c r="CQ38" s="42">
        <f t="shared" si="18"/>
        <v>16</v>
      </c>
      <c r="CR38" s="42">
        <f t="shared" si="18"/>
        <v>17</v>
      </c>
      <c r="CS38" s="42">
        <f t="shared" si="19"/>
        <v>18</v>
      </c>
      <c r="CT38" s="42">
        <f t="shared" si="19"/>
        <v>19</v>
      </c>
      <c r="CU38" s="42">
        <f t="shared" si="19"/>
        <v>20</v>
      </c>
      <c r="CV38" s="42">
        <f t="shared" si="19"/>
        <v>21</v>
      </c>
      <c r="CW38" s="42">
        <f t="shared" si="19"/>
        <v>22</v>
      </c>
      <c r="CX38" s="42">
        <f t="shared" si="19"/>
        <v>23</v>
      </c>
      <c r="CY38" s="42">
        <f t="shared" si="19"/>
        <v>24</v>
      </c>
      <c r="CZ38" s="42">
        <f t="shared" si="19"/>
        <v>25</v>
      </c>
      <c r="DA38" s="100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100"/>
      <c r="ET38" s="99"/>
      <c r="EU38" s="9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99"/>
      <c r="FG38" s="99"/>
      <c r="FH38" s="99"/>
      <c r="FI38" s="99"/>
      <c r="FJ38" s="99"/>
      <c r="FK38" s="99"/>
      <c r="FL38" s="99"/>
      <c r="FM38" s="99"/>
      <c r="FN38" s="99"/>
      <c r="FO38" s="25" t="str">
        <f t="shared" si="6"/>
        <v>linear model8</v>
      </c>
    </row>
    <row r="39" spans="1:171" ht="13.5" thickBot="1">
      <c r="A39" s="142">
        <f t="shared" si="13"/>
        <v>96.53896324890141</v>
      </c>
      <c r="B39" s="143">
        <f t="shared" si="14"/>
        <v>478.76717149706315</v>
      </c>
      <c r="C39" s="133"/>
      <c r="D39" s="134"/>
      <c r="E39" s="134"/>
      <c r="F39" s="135"/>
      <c r="G39" s="112" t="s">
        <v>43</v>
      </c>
      <c r="H39" s="96">
        <v>9</v>
      </c>
      <c r="I39" s="95">
        <v>798</v>
      </c>
      <c r="J39" s="95">
        <v>823</v>
      </c>
      <c r="K39" s="95">
        <v>839</v>
      </c>
      <c r="L39" s="41">
        <v>889.34</v>
      </c>
      <c r="M39" s="41">
        <v>969.38060000000007</v>
      </c>
      <c r="N39" s="41">
        <v>1017.8496300000002</v>
      </c>
      <c r="O39" s="41">
        <v>1109.4560967000002</v>
      </c>
      <c r="P39" s="41">
        <v>1176.0234625020003</v>
      </c>
      <c r="Q39" s="41">
        <v>1223.0644010020803</v>
      </c>
      <c r="R39" s="41">
        <v>1345.3708411022885</v>
      </c>
      <c r="S39" s="41">
        <v>1426.093091568426</v>
      </c>
      <c r="T39" s="41">
        <v>1483.1368152311632</v>
      </c>
      <c r="U39" s="41">
        <v>1631.4504967542796</v>
      </c>
      <c r="V39" s="41">
        <v>1761.966536494622</v>
      </c>
      <c r="W39" s="41">
        <v>1902.9238594141918</v>
      </c>
      <c r="X39" s="41">
        <v>1940.9823366024757</v>
      </c>
      <c r="Y39" s="41">
        <v>2115.6707468966988</v>
      </c>
      <c r="Z39" s="41">
        <v>2200.297576772567</v>
      </c>
      <c r="AA39" s="41">
        <v>2420.3273344498239</v>
      </c>
      <c r="AB39" s="41">
        <v>2468.7338811388204</v>
      </c>
      <c r="AC39" s="41">
        <v>2641.5452528185378</v>
      </c>
      <c r="AD39" s="41">
        <v>2773.6225154594649</v>
      </c>
      <c r="AE39" s="150">
        <f t="shared" si="15"/>
        <v>575.30613474596453</v>
      </c>
      <c r="AF39" s="150">
        <f t="shared" si="15"/>
        <v>671.84509799486591</v>
      </c>
      <c r="AG39" s="150">
        <f t="shared" si="15"/>
        <v>768.38406124376741</v>
      </c>
      <c r="AH39" s="150">
        <f t="shared" si="15"/>
        <v>864.92302449266879</v>
      </c>
      <c r="AI39" s="150">
        <f t="shared" si="15"/>
        <v>961.46198774157017</v>
      </c>
      <c r="AJ39" s="150">
        <f t="shared" si="15"/>
        <v>1058.0009509904717</v>
      </c>
      <c r="AK39" s="150">
        <f t="shared" si="15"/>
        <v>1154.539914239373</v>
      </c>
      <c r="AL39" s="150">
        <f t="shared" si="15"/>
        <v>1251.0788774882744</v>
      </c>
      <c r="AM39" s="150">
        <f t="shared" si="15"/>
        <v>1347.6178407371758</v>
      </c>
      <c r="AN39" s="150">
        <f t="shared" si="15"/>
        <v>1444.1568039860772</v>
      </c>
      <c r="AO39" s="150">
        <f t="shared" si="15"/>
        <v>1540.6957672349786</v>
      </c>
      <c r="AP39" s="150">
        <f t="shared" si="15"/>
        <v>1637.2347304838802</v>
      </c>
      <c r="AQ39" s="150">
        <f t="shared" si="15"/>
        <v>1733.7736937327816</v>
      </c>
      <c r="AR39" s="150">
        <f t="shared" si="15"/>
        <v>1830.3126569816829</v>
      </c>
      <c r="AS39" s="150">
        <f t="shared" si="15"/>
        <v>1926.8516202305843</v>
      </c>
      <c r="AT39" s="150">
        <f t="shared" si="15"/>
        <v>2023.3905834794857</v>
      </c>
      <c r="AU39" s="150">
        <f t="shared" si="16"/>
        <v>2119.9295467283873</v>
      </c>
      <c r="AV39" s="150">
        <f t="shared" si="16"/>
        <v>2216.4685099772887</v>
      </c>
      <c r="AW39" s="150">
        <f t="shared" si="16"/>
        <v>2313.0074732261901</v>
      </c>
      <c r="AX39" s="150">
        <f t="shared" si="16"/>
        <v>2409.5464364750915</v>
      </c>
      <c r="AY39" s="150">
        <f t="shared" si="16"/>
        <v>2506.0853997239929</v>
      </c>
      <c r="AZ39" s="150">
        <f t="shared" si="16"/>
        <v>2602.6243629728942</v>
      </c>
      <c r="BA39" s="148">
        <f t="shared" si="16"/>
        <v>2699.1633262217956</v>
      </c>
      <c r="BB39" s="148">
        <f t="shared" si="16"/>
        <v>2795.702289470697</v>
      </c>
      <c r="BC39" s="148">
        <f t="shared" si="16"/>
        <v>2892.2412527195984</v>
      </c>
      <c r="BD39" s="45">
        <f t="shared" si="20"/>
        <v>49592.557621782507</v>
      </c>
      <c r="BE39" s="45">
        <f t="shared" si="20"/>
        <v>22847.804400181689</v>
      </c>
      <c r="BF39" s="45">
        <f t="shared" si="20"/>
        <v>4986.6108064239925</v>
      </c>
      <c r="BG39" s="45">
        <f t="shared" si="20"/>
        <v>596.18869292561385</v>
      </c>
      <c r="BH39" s="45">
        <f t="shared" si="20"/>
        <v>62.704420099356327</v>
      </c>
      <c r="BI39" s="45">
        <f t="shared" si="20"/>
        <v>1612.1285772798776</v>
      </c>
      <c r="BJ39" s="45">
        <f t="shared" si="20"/>
        <v>2032.5506039234613</v>
      </c>
      <c r="BK39" s="45">
        <f t="shared" si="20"/>
        <v>5633.31531876183</v>
      </c>
      <c r="BL39" s="45">
        <f t="shared" si="20"/>
        <v>15513.559349844061</v>
      </c>
      <c r="BM39" s="45">
        <f t="shared" si="20"/>
        <v>9758.6664628772724</v>
      </c>
      <c r="BN39" s="45">
        <f t="shared" si="20"/>
        <v>13133.77326993305</v>
      </c>
      <c r="BO39" s="45">
        <f t="shared" si="20"/>
        <v>23746.16748523356</v>
      </c>
      <c r="BP39" s="45">
        <f t="shared" si="20"/>
        <v>10470.036639901316</v>
      </c>
      <c r="BQ39" s="45">
        <f t="shared" si="20"/>
        <v>4671.1921856318513</v>
      </c>
      <c r="BR39" s="45">
        <f t="shared" si="20"/>
        <v>572.53773768648796</v>
      </c>
      <c r="BS39" s="45">
        <f t="shared" si="8"/>
        <v>6791.1191533422307</v>
      </c>
      <c r="BT39" s="45">
        <f t="shared" si="8"/>
        <v>18.13737600639017</v>
      </c>
      <c r="BU39" s="45">
        <f t="shared" si="8"/>
        <v>261.49908071157012</v>
      </c>
      <c r="BV39" s="45">
        <f t="shared" si="8"/>
        <v>11517.552613060014</v>
      </c>
      <c r="BW39" s="45">
        <f t="shared" si="8"/>
        <v>3503.1536058219722</v>
      </c>
      <c r="BX39" s="45">
        <f t="shared" si="8"/>
        <v>18349.371800395711</v>
      </c>
      <c r="BY39" s="45">
        <f t="shared" si="8"/>
        <v>29240.36815382048</v>
      </c>
      <c r="BZ39" s="92">
        <f t="shared" si="4"/>
        <v>103.33330787391668</v>
      </c>
      <c r="CA39" s="47">
        <f t="shared" si="5"/>
        <v>3.725572146100025E-2</v>
      </c>
      <c r="CB39" s="42">
        <f t="shared" si="17"/>
        <v>1</v>
      </c>
      <c r="CC39" s="42">
        <f t="shared" si="18"/>
        <v>2</v>
      </c>
      <c r="CD39" s="42">
        <f t="shared" si="18"/>
        <v>3</v>
      </c>
      <c r="CE39" s="42">
        <f t="shared" si="18"/>
        <v>4</v>
      </c>
      <c r="CF39" s="42">
        <f t="shared" si="18"/>
        <v>5</v>
      </c>
      <c r="CG39" s="42">
        <f t="shared" si="18"/>
        <v>6</v>
      </c>
      <c r="CH39" s="42">
        <f t="shared" si="18"/>
        <v>7</v>
      </c>
      <c r="CI39" s="42">
        <f t="shared" si="18"/>
        <v>8</v>
      </c>
      <c r="CJ39" s="42">
        <f t="shared" si="18"/>
        <v>9</v>
      </c>
      <c r="CK39" s="42">
        <f t="shared" si="18"/>
        <v>10</v>
      </c>
      <c r="CL39" s="42">
        <f t="shared" si="18"/>
        <v>11</v>
      </c>
      <c r="CM39" s="42">
        <f t="shared" si="18"/>
        <v>12</v>
      </c>
      <c r="CN39" s="42">
        <f t="shared" si="18"/>
        <v>13</v>
      </c>
      <c r="CO39" s="42">
        <f t="shared" si="18"/>
        <v>14</v>
      </c>
      <c r="CP39" s="42">
        <f t="shared" si="18"/>
        <v>15</v>
      </c>
      <c r="CQ39" s="42">
        <f t="shared" si="18"/>
        <v>16</v>
      </c>
      <c r="CR39" s="42">
        <f t="shared" si="18"/>
        <v>17</v>
      </c>
      <c r="CS39" s="42">
        <f t="shared" si="19"/>
        <v>18</v>
      </c>
      <c r="CT39" s="42">
        <f t="shared" si="19"/>
        <v>19</v>
      </c>
      <c r="CU39" s="42">
        <f t="shared" si="19"/>
        <v>20</v>
      </c>
      <c r="CV39" s="42">
        <f t="shared" si="19"/>
        <v>21</v>
      </c>
      <c r="CW39" s="42">
        <f t="shared" si="19"/>
        <v>22</v>
      </c>
      <c r="CX39" s="42">
        <f t="shared" si="19"/>
        <v>23</v>
      </c>
      <c r="CY39" s="42">
        <f t="shared" si="19"/>
        <v>24</v>
      </c>
      <c r="CZ39" s="42">
        <f t="shared" si="19"/>
        <v>25</v>
      </c>
      <c r="DA39" s="101"/>
      <c r="DB39" s="101"/>
      <c r="DC39" s="101"/>
      <c r="DD39" s="101"/>
      <c r="DE39" s="101"/>
      <c r="DF39" s="101"/>
      <c r="DG39" s="101"/>
      <c r="DH39" s="101"/>
      <c r="DI39" s="101"/>
      <c r="DJ39" s="101"/>
      <c r="DK39" s="101"/>
      <c r="DL39" s="101"/>
      <c r="DM39" s="101"/>
      <c r="DN39" s="101"/>
      <c r="DO39" s="101"/>
      <c r="DP39" s="101"/>
      <c r="DQ39" s="101"/>
      <c r="DR39" s="101"/>
      <c r="DS39" s="101"/>
      <c r="DT39" s="101"/>
      <c r="DU39" s="101"/>
      <c r="DV39" s="101"/>
      <c r="DW39" s="94"/>
      <c r="DX39" s="94"/>
      <c r="DY39" s="94"/>
      <c r="DZ39" s="94"/>
      <c r="EA39" s="94"/>
      <c r="EB39" s="94"/>
      <c r="EC39" s="94"/>
      <c r="ED39" s="94"/>
      <c r="EE39" s="94"/>
      <c r="EF39" s="94"/>
      <c r="EG39" s="94"/>
      <c r="EH39" s="94"/>
      <c r="EI39" s="94"/>
      <c r="EJ39" s="94"/>
      <c r="EK39" s="94"/>
      <c r="EL39" s="94"/>
      <c r="EM39" s="94"/>
      <c r="EN39" s="94"/>
      <c r="EO39" s="94"/>
      <c r="EP39" s="94"/>
      <c r="EQ39" s="94"/>
      <c r="ER39" s="94"/>
      <c r="ES39" s="101"/>
      <c r="ET39" s="101"/>
      <c r="EU39" s="101"/>
      <c r="EV39" s="101"/>
      <c r="EW39" s="101"/>
      <c r="EX39" s="101"/>
      <c r="EY39" s="101"/>
      <c r="EZ39" s="101"/>
      <c r="FA39" s="101"/>
      <c r="FB39" s="101"/>
      <c r="FC39" s="101"/>
      <c r="FD39" s="101"/>
      <c r="FE39" s="101"/>
      <c r="FF39" s="101"/>
      <c r="FG39" s="101"/>
      <c r="FH39" s="101"/>
      <c r="FI39" s="101"/>
      <c r="FJ39" s="101"/>
      <c r="FK39" s="101"/>
      <c r="FL39" s="101"/>
      <c r="FM39" s="101"/>
      <c r="FN39" s="101"/>
      <c r="FO39" s="25" t="str">
        <f t="shared" si="6"/>
        <v>linear model9</v>
      </c>
    </row>
    <row r="40" spans="1:171">
      <c r="A40" s="136" cm="1">
        <f t="array" aca="1" ref="A40:B40" ca="1">LINEST(INDIRECT(ADDRESS(ROW(H40),COLUMN(AD40)-CW40+1,1,1)):INDIRECT(ADDRESS(ROW(H40),COLUMN(AD40),1,1)),LN(INDIRECT(ADDRESS(ROW(H40),COLUMN(CW40)-CW40+1,1,1)):INDIRECT(ADDRESS(ROW(H40),COLUMN(CW40),1,1))))</f>
        <v>1528.5829547926749</v>
      </c>
      <c r="B40" s="137">
        <f ca="1"/>
        <v>31546.078881223642</v>
      </c>
      <c r="C40" s="138"/>
      <c r="D40" s="129"/>
      <c r="E40" s="129"/>
      <c r="F40" s="121"/>
      <c r="G40" s="39" t="s">
        <v>50</v>
      </c>
      <c r="H40" s="40">
        <v>1</v>
      </c>
      <c r="I40" s="41">
        <v>32802.146000000001</v>
      </c>
      <c r="J40" s="41">
        <v>33904.127</v>
      </c>
      <c r="K40" s="41">
        <v>32833.296999999999</v>
      </c>
      <c r="L40" s="41">
        <v>29818.438999999988</v>
      </c>
      <c r="M40" s="41">
        <v>33431.994999999974</v>
      </c>
      <c r="N40" s="41">
        <v>28803.478000000006</v>
      </c>
      <c r="O40" s="41">
        <v>40291.759000000013</v>
      </c>
      <c r="P40" s="41">
        <v>26278.331999999999</v>
      </c>
      <c r="Q40" s="41">
        <v>42540.371000000014</v>
      </c>
      <c r="R40" s="41">
        <v>37172.433999999972</v>
      </c>
      <c r="S40" s="41">
        <v>41637.430999999997</v>
      </c>
      <c r="T40" s="41">
        <v>31219.431999999964</v>
      </c>
      <c r="U40" s="41">
        <v>28675.796000000013</v>
      </c>
      <c r="V40" s="41">
        <v>49731.127000000008</v>
      </c>
      <c r="W40" s="41">
        <v>41223.800000000025</v>
      </c>
      <c r="X40" s="41">
        <v>32654.809000000019</v>
      </c>
      <c r="Y40" s="41">
        <v>28539.58400000001</v>
      </c>
      <c r="Z40" s="41">
        <v>21790.126999999993</v>
      </c>
      <c r="AA40" s="41">
        <v>37336.114000000016</v>
      </c>
      <c r="AB40" s="41">
        <v>42632.649000000019</v>
      </c>
      <c r="AC40" s="41">
        <v>31690.889000000021</v>
      </c>
      <c r="AD40" s="41">
        <v>43097.821000000011</v>
      </c>
      <c r="AE40" s="150">
        <f t="shared" ref="AE40:AT48" ca="1" si="21">IF(CB40="","",$A40*LN(CB40)+$B40)</f>
        <v>31546.078881223642</v>
      </c>
      <c r="AF40" s="150">
        <f t="shared" ca="1" si="21"/>
        <v>32605.611846590175</v>
      </c>
      <c r="AG40" s="150">
        <f t="shared" ca="1" si="21"/>
        <v>33225.398899607484</v>
      </c>
      <c r="AH40" s="150">
        <f t="shared" ca="1" si="21"/>
        <v>33665.144811956707</v>
      </c>
      <c r="AI40" s="150">
        <f t="shared" ca="1" si="21"/>
        <v>34006.238240967512</v>
      </c>
      <c r="AJ40" s="150">
        <f t="shared" ca="1" si="21"/>
        <v>34284.931864974016</v>
      </c>
      <c r="AK40" s="150">
        <f t="shared" ca="1" si="21"/>
        <v>34520.563966627669</v>
      </c>
      <c r="AL40" s="150">
        <f t="shared" ca="1" si="21"/>
        <v>34724.677777323239</v>
      </c>
      <c r="AM40" s="150">
        <f t="shared" ca="1" si="21"/>
        <v>34904.718917991326</v>
      </c>
      <c r="AN40" s="150">
        <f t="shared" ca="1" si="21"/>
        <v>35065.771206334044</v>
      </c>
      <c r="AO40" s="150">
        <f t="shared" ca="1" si="21"/>
        <v>35211.460722601165</v>
      </c>
      <c r="AP40" s="150">
        <f t="shared" ca="1" si="21"/>
        <v>35344.464830340548</v>
      </c>
      <c r="AQ40" s="150">
        <f t="shared" ca="1" si="21"/>
        <v>35466.81674894577</v>
      </c>
      <c r="AR40" s="150">
        <f t="shared" ca="1" si="21"/>
        <v>35580.096931994201</v>
      </c>
      <c r="AS40" s="150">
        <f t="shared" ca="1" si="21"/>
        <v>35685.558259351354</v>
      </c>
      <c r="AT40" s="150">
        <f t="shared" ca="1" si="21"/>
        <v>35784.210742689771</v>
      </c>
      <c r="AU40" s="150">
        <f t="shared" ref="AU40:BC48" ca="1" si="22">IF(CR40="","",$A40*LN(CR40)+$B40)</f>
        <v>35876.880506239126</v>
      </c>
      <c r="AV40" s="150">
        <f t="shared" ca="1" si="22"/>
        <v>35964.251883357858</v>
      </c>
      <c r="AW40" s="150">
        <f t="shared" ca="1" si="22"/>
        <v>36046.898116204604</v>
      </c>
      <c r="AX40" s="150">
        <f t="shared" ca="1" si="22"/>
        <v>36125.304171700584</v>
      </c>
      <c r="AY40" s="150">
        <f t="shared" ca="1" si="22"/>
        <v>36199.883985011511</v>
      </c>
      <c r="AZ40" s="150">
        <f t="shared" ca="1" si="22"/>
        <v>36270.993687967697</v>
      </c>
      <c r="BA40" s="148">
        <f t="shared" ca="1" si="22"/>
        <v>36338.941894543961</v>
      </c>
      <c r="BB40" s="148">
        <f t="shared" ca="1" si="22"/>
        <v>36403.997795707081</v>
      </c>
      <c r="BC40" s="148">
        <f t="shared" ca="1" si="22"/>
        <v>36466.397600711382</v>
      </c>
      <c r="BD40" s="45">
        <f t="shared" ca="1" si="20"/>
        <v>1577704.6068711421</v>
      </c>
      <c r="BE40" s="45">
        <f t="shared" ca="1" si="20"/>
        <v>1686141.6036349437</v>
      </c>
      <c r="BF40" s="45">
        <f t="shared" ca="1" si="20"/>
        <v>153743.89967579854</v>
      </c>
      <c r="BG40" s="45">
        <f t="shared" ca="1" si="20"/>
        <v>14797145.603741601</v>
      </c>
      <c r="BH40" s="45">
        <f t="shared" ca="1" si="20"/>
        <v>329755.2997969024</v>
      </c>
      <c r="BI40" s="45">
        <f t="shared" ca="1" si="20"/>
        <v>30046336.473838508</v>
      </c>
      <c r="BJ40" s="45">
        <f t="shared" ca="1" si="20"/>
        <v>33306692.113221604</v>
      </c>
      <c r="BK40" s="45">
        <f t="shared" ca="1" si="20"/>
        <v>71340756.990106136</v>
      </c>
      <c r="BL40" s="45">
        <f t="shared" ca="1" si="20"/>
        <v>58303182.71748361</v>
      </c>
      <c r="BM40" s="45">
        <f t="shared" ca="1" si="20"/>
        <v>4438028.1262163315</v>
      </c>
      <c r="BN40" s="45">
        <f t="shared" ca="1" si="20"/>
        <v>41293094.006013222</v>
      </c>
      <c r="BO40" s="45">
        <f t="shared" ca="1" si="20"/>
        <v>17015895.85138765</v>
      </c>
      <c r="BP40" s="45">
        <f t="shared" ca="1" si="20"/>
        <v>46117962.812611789</v>
      </c>
      <c r="BQ40" s="45">
        <f t="shared" ca="1" si="20"/>
        <v>200251651.98560441</v>
      </c>
      <c r="BR40" s="45">
        <f t="shared" ca="1" si="20"/>
        <v>30672121.577863224</v>
      </c>
      <c r="BS40" s="45">
        <f t="shared" ca="1" si="8"/>
        <v>9793155.2671496551</v>
      </c>
      <c r="BT40" s="45">
        <f t="shared" ca="1" si="8"/>
        <v>53835920.020468734</v>
      </c>
      <c r="BU40" s="45">
        <f t="shared" ca="1" si="8"/>
        <v>200905816.20902461</v>
      </c>
      <c r="BV40" s="45">
        <f t="shared" ca="1" si="8"/>
        <v>1662077.5950303855</v>
      </c>
      <c r="BW40" s="45">
        <f t="shared" ca="1" si="8"/>
        <v>42345536.714395411</v>
      </c>
      <c r="BX40" s="45">
        <f t="shared" ca="1" si="8"/>
        <v>20331035.774858765</v>
      </c>
      <c r="BY40" s="45">
        <f t="shared" ca="1" si="8"/>
        <v>46605571.148310348</v>
      </c>
      <c r="BZ40" s="92">
        <f t="shared" ca="1" si="4"/>
        <v>6490.5852320436361</v>
      </c>
      <c r="CA40" s="47">
        <f t="shared" ca="1" si="5"/>
        <v>0.15060123879682072</v>
      </c>
      <c r="CB40" s="42">
        <f t="shared" si="17"/>
        <v>1</v>
      </c>
      <c r="CC40" s="42">
        <f t="shared" si="18"/>
        <v>2</v>
      </c>
      <c r="CD40" s="42">
        <f t="shared" si="18"/>
        <v>3</v>
      </c>
      <c r="CE40" s="42">
        <f t="shared" si="18"/>
        <v>4</v>
      </c>
      <c r="CF40" s="42">
        <f t="shared" si="18"/>
        <v>5</v>
      </c>
      <c r="CG40" s="42">
        <f t="shared" si="18"/>
        <v>6</v>
      </c>
      <c r="CH40" s="42">
        <f t="shared" si="18"/>
        <v>7</v>
      </c>
      <c r="CI40" s="42">
        <f t="shared" si="18"/>
        <v>8</v>
      </c>
      <c r="CJ40" s="42">
        <f t="shared" si="18"/>
        <v>9</v>
      </c>
      <c r="CK40" s="42">
        <f t="shared" si="18"/>
        <v>10</v>
      </c>
      <c r="CL40" s="42">
        <f t="shared" si="18"/>
        <v>11</v>
      </c>
      <c r="CM40" s="42">
        <f t="shared" si="18"/>
        <v>12</v>
      </c>
      <c r="CN40" s="42">
        <f t="shared" si="18"/>
        <v>13</v>
      </c>
      <c r="CO40" s="42">
        <f t="shared" si="18"/>
        <v>14</v>
      </c>
      <c r="CP40" s="42">
        <f t="shared" si="18"/>
        <v>15</v>
      </c>
      <c r="CQ40" s="42">
        <f t="shared" si="18"/>
        <v>16</v>
      </c>
      <c r="CR40" s="42">
        <f t="shared" si="18"/>
        <v>17</v>
      </c>
      <c r="CS40" s="42">
        <f t="shared" si="19"/>
        <v>18</v>
      </c>
      <c r="CT40" s="42">
        <f t="shared" si="19"/>
        <v>19</v>
      </c>
      <c r="CU40" s="42">
        <f t="shared" si="19"/>
        <v>20</v>
      </c>
      <c r="CV40" s="42">
        <f t="shared" si="19"/>
        <v>21</v>
      </c>
      <c r="CW40" s="42">
        <f t="shared" si="19"/>
        <v>22</v>
      </c>
      <c r="CX40" s="42">
        <f t="shared" si="19"/>
        <v>23</v>
      </c>
      <c r="CY40" s="42">
        <f t="shared" si="19"/>
        <v>24</v>
      </c>
      <c r="CZ40" s="42">
        <f t="shared" si="19"/>
        <v>25</v>
      </c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41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99"/>
      <c r="ET40" s="99"/>
      <c r="EU40" s="99"/>
      <c r="EV40" s="99"/>
      <c r="EW40" s="99"/>
      <c r="EX40" s="99"/>
      <c r="EY40" s="99"/>
      <c r="EZ40" s="99"/>
      <c r="FA40" s="99"/>
      <c r="FB40" s="99"/>
      <c r="FC40" s="99"/>
      <c r="FD40" s="99"/>
      <c r="FE40" s="99"/>
      <c r="FF40" s="99"/>
      <c r="FG40" s="99"/>
      <c r="FH40" s="99"/>
      <c r="FI40" s="99"/>
      <c r="FJ40" s="99"/>
      <c r="FK40" s="99"/>
      <c r="FL40" s="99"/>
      <c r="FM40" s="99"/>
      <c r="FN40" s="99"/>
      <c r="FO40" s="25" t="str">
        <f t="shared" si="6"/>
        <v>nonlinear model1</v>
      </c>
    </row>
    <row r="41" spans="1:171">
      <c r="A41" s="139" cm="1">
        <f t="array" aca="1" ref="A41:B41" ca="1">LINEST(INDIRECT(ADDRESS(ROW(H41),COLUMN(AD41)-CW41+1,1,1)):INDIRECT(ADDRESS(ROW(H41),COLUMN(AD41),1,1)),LN(INDIRECT(ADDRESS(ROW(H41),COLUMN(CW41)-CW41+1,1,1)):INDIRECT(ADDRESS(ROW(H41),COLUMN(CW41),1,1))))</f>
        <v>1155.6401417304271</v>
      </c>
      <c r="B41" s="141">
        <f ca="1"/>
        <v>2248.4257778510869</v>
      </c>
      <c r="C41" s="141"/>
      <c r="D41" s="141"/>
      <c r="E41" s="141"/>
      <c r="F41" s="131"/>
      <c r="G41" s="39" t="s">
        <v>50</v>
      </c>
      <c r="H41" s="40">
        <v>2</v>
      </c>
      <c r="I41" s="41">
        <v>2034.829</v>
      </c>
      <c r="J41" s="41">
        <v>3926.1889999999994</v>
      </c>
      <c r="K41" s="41">
        <v>3165.9719999999993</v>
      </c>
      <c r="L41" s="41">
        <v>2405.7349999999997</v>
      </c>
      <c r="M41" s="41">
        <v>4985.2890000000025</v>
      </c>
      <c r="N41" s="41">
        <v>3527.0360000000028</v>
      </c>
      <c r="O41" s="41">
        <v>5465.6859999999933</v>
      </c>
      <c r="P41" s="41">
        <v>3315.097000000002</v>
      </c>
      <c r="Q41" s="41">
        <v>5477.0960000000023</v>
      </c>
      <c r="R41" s="41">
        <v>4799.9790000000003</v>
      </c>
      <c r="S41" s="41">
        <v>6470.7690000000048</v>
      </c>
      <c r="T41" s="41">
        <v>5351.2719999999999</v>
      </c>
      <c r="U41" s="41">
        <v>5938.1189999999997</v>
      </c>
      <c r="V41" s="41">
        <v>4660.0050000000001</v>
      </c>
      <c r="W41" s="41">
        <v>5788.3040000000074</v>
      </c>
      <c r="X41" s="41">
        <v>5788.3040000000074</v>
      </c>
      <c r="Y41" s="41">
        <v>5652.8189999999959</v>
      </c>
      <c r="Z41" s="41">
        <v>4704.0000000000045</v>
      </c>
      <c r="AA41" s="41">
        <v>4291.5800000000008</v>
      </c>
      <c r="AB41" s="41">
        <v>5788.3040000000074</v>
      </c>
      <c r="AC41" s="41">
        <v>5711.5479999999989</v>
      </c>
      <c r="AD41" s="41">
        <v>6232.6779999999999</v>
      </c>
      <c r="AE41" s="150">
        <f t="shared" ca="1" si="21"/>
        <v>2248.4257778510869</v>
      </c>
      <c r="AF41" s="150">
        <f t="shared" ca="1" si="21"/>
        <v>3049.4544838334277</v>
      </c>
      <c r="AG41" s="150">
        <f t="shared" ca="1" si="21"/>
        <v>3518.0262388342899</v>
      </c>
      <c r="AH41" s="150">
        <f t="shared" ca="1" si="21"/>
        <v>3850.483189815769</v>
      </c>
      <c r="AI41" s="150">
        <f t="shared" ca="1" si="21"/>
        <v>4108.3568350827536</v>
      </c>
      <c r="AJ41" s="150">
        <f t="shared" ca="1" si="21"/>
        <v>4319.0549448166312</v>
      </c>
      <c r="AK41" s="150">
        <f t="shared" ca="1" si="21"/>
        <v>4497.1976583000451</v>
      </c>
      <c r="AL41" s="150">
        <f t="shared" ca="1" si="21"/>
        <v>4651.5118957981103</v>
      </c>
      <c r="AM41" s="150">
        <f t="shared" ca="1" si="21"/>
        <v>4787.6266998174933</v>
      </c>
      <c r="AN41" s="150">
        <f t="shared" ca="1" si="21"/>
        <v>4909.3855410650949</v>
      </c>
      <c r="AO41" s="150">
        <f t="shared" ca="1" si="21"/>
        <v>5019.5298107625167</v>
      </c>
      <c r="AP41" s="150">
        <f t="shared" ca="1" si="21"/>
        <v>5120.0836507989725</v>
      </c>
      <c r="AQ41" s="150">
        <f t="shared" ca="1" si="21"/>
        <v>5212.5842168393046</v>
      </c>
      <c r="AR41" s="150">
        <f t="shared" ca="1" si="21"/>
        <v>5298.2263642823864</v>
      </c>
      <c r="AS41" s="150">
        <f t="shared" ca="1" si="21"/>
        <v>5377.9572960659571</v>
      </c>
      <c r="AT41" s="150">
        <f t="shared" ca="1" si="21"/>
        <v>5452.5406017804507</v>
      </c>
      <c r="AU41" s="150">
        <f t="shared" ca="1" si="22"/>
        <v>5522.6008483287496</v>
      </c>
      <c r="AV41" s="150">
        <f t="shared" ca="1" si="22"/>
        <v>5588.6554057998346</v>
      </c>
      <c r="AW41" s="150">
        <f t="shared" ca="1" si="22"/>
        <v>5651.1376570515858</v>
      </c>
      <c r="AX41" s="150">
        <f t="shared" ca="1" si="22"/>
        <v>5710.4142470474353</v>
      </c>
      <c r="AY41" s="150">
        <f t="shared" ca="1" si="22"/>
        <v>5766.7981192832485</v>
      </c>
      <c r="AZ41" s="150">
        <f t="shared" ca="1" si="22"/>
        <v>5820.5585167448589</v>
      </c>
      <c r="BA41" s="148">
        <f t="shared" ca="1" si="22"/>
        <v>5871.9287579423835</v>
      </c>
      <c r="BB41" s="148">
        <f t="shared" ca="1" si="22"/>
        <v>5921.1123567813138</v>
      </c>
      <c r="BC41" s="148">
        <f t="shared" ca="1" si="22"/>
        <v>5968.2878923144199</v>
      </c>
      <c r="BD41" s="45">
        <f t="shared" ca="1" si="20"/>
        <v>45623.583508366581</v>
      </c>
      <c r="BE41" s="45">
        <f t="shared" ca="1" si="20"/>
        <v>768663.41183783254</v>
      </c>
      <c r="BF41" s="45">
        <f t="shared" ca="1" si="20"/>
        <v>123942.1870811917</v>
      </c>
      <c r="BG41" s="45">
        <f t="shared" ca="1" si="20"/>
        <v>2087297.3319759422</v>
      </c>
      <c r="BH41" s="45">
        <f t="shared" ca="1" si="20"/>
        <v>769010.021866453</v>
      </c>
      <c r="BI41" s="45">
        <f t="shared" ca="1" si="20"/>
        <v>627294.00894844544</v>
      </c>
      <c r="BJ41" s="45">
        <f t="shared" ca="1" si="20"/>
        <v>937969.66800871573</v>
      </c>
      <c r="BK41" s="45">
        <f t="shared" ca="1" si="20"/>
        <v>1786004.7737110688</v>
      </c>
      <c r="BL41" s="45">
        <f t="shared" ca="1" si="20"/>
        <v>475367.91589415865</v>
      </c>
      <c r="BM41" s="45">
        <f t="shared" ca="1" si="20"/>
        <v>11969.79122782824</v>
      </c>
      <c r="BN41" s="45">
        <f t="shared" ca="1" si="20"/>
        <v>2106095.1843786817</v>
      </c>
      <c r="BO41" s="45">
        <f t="shared" ca="1" si="20"/>
        <v>53448.052806296211</v>
      </c>
      <c r="BP41" s="45">
        <f t="shared" ca="1" si="20"/>
        <v>526400.72157603677</v>
      </c>
      <c r="BQ41" s="45">
        <f t="shared" ca="1" si="20"/>
        <v>407326.5098264704</v>
      </c>
      <c r="BR41" s="45">
        <f t="shared" ca="1" si="20"/>
        <v>168384.41742953914</v>
      </c>
      <c r="BS41" s="45">
        <f t="shared" ca="1" si="8"/>
        <v>112737.05958394456</v>
      </c>
      <c r="BT41" s="45">
        <f t="shared" ca="1" si="8"/>
        <v>16956.76702467569</v>
      </c>
      <c r="BU41" s="45">
        <f t="shared" ca="1" si="8"/>
        <v>782615.18701086205</v>
      </c>
      <c r="BV41" s="45">
        <f t="shared" ca="1" si="8"/>
        <v>1848397.0228475952</v>
      </c>
      <c r="BW41" s="45">
        <f t="shared" ca="1" si="8"/>
        <v>6066.8136150127066</v>
      </c>
      <c r="BX41" s="45">
        <f t="shared" ca="1" si="8"/>
        <v>3052.575680813316</v>
      </c>
      <c r="BY41" s="45">
        <f t="shared" ca="1" si="8"/>
        <v>169842.4684784844</v>
      </c>
      <c r="BZ41" s="92">
        <f t="shared" ca="1" si="4"/>
        <v>792.99390901932281</v>
      </c>
      <c r="CA41" s="47">
        <f t="shared" ca="1" si="5"/>
        <v>0.12723165050710511</v>
      </c>
      <c r="CB41" s="42">
        <f t="shared" si="17"/>
        <v>1</v>
      </c>
      <c r="CC41" s="42">
        <f t="shared" si="18"/>
        <v>2</v>
      </c>
      <c r="CD41" s="42">
        <f t="shared" si="18"/>
        <v>3</v>
      </c>
      <c r="CE41" s="42">
        <f t="shared" si="18"/>
        <v>4</v>
      </c>
      <c r="CF41" s="42">
        <f t="shared" si="18"/>
        <v>5</v>
      </c>
      <c r="CG41" s="42">
        <f t="shared" si="18"/>
        <v>6</v>
      </c>
      <c r="CH41" s="42">
        <f t="shared" si="18"/>
        <v>7</v>
      </c>
      <c r="CI41" s="42">
        <f t="shared" si="18"/>
        <v>8</v>
      </c>
      <c r="CJ41" s="42">
        <f t="shared" si="18"/>
        <v>9</v>
      </c>
      <c r="CK41" s="42">
        <f t="shared" si="18"/>
        <v>10</v>
      </c>
      <c r="CL41" s="42">
        <f t="shared" si="18"/>
        <v>11</v>
      </c>
      <c r="CM41" s="42">
        <f t="shared" si="18"/>
        <v>12</v>
      </c>
      <c r="CN41" s="42">
        <f t="shared" si="18"/>
        <v>13</v>
      </c>
      <c r="CO41" s="42">
        <f t="shared" si="18"/>
        <v>14</v>
      </c>
      <c r="CP41" s="42">
        <f t="shared" si="18"/>
        <v>15</v>
      </c>
      <c r="CQ41" s="42">
        <f t="shared" si="18"/>
        <v>16</v>
      </c>
      <c r="CR41" s="42">
        <f t="shared" si="18"/>
        <v>17</v>
      </c>
      <c r="CS41" s="42">
        <f t="shared" si="19"/>
        <v>18</v>
      </c>
      <c r="CT41" s="42">
        <f t="shared" si="19"/>
        <v>19</v>
      </c>
      <c r="CU41" s="42">
        <f t="shared" si="19"/>
        <v>20</v>
      </c>
      <c r="CV41" s="42">
        <f t="shared" si="19"/>
        <v>21</v>
      </c>
      <c r="CW41" s="42">
        <f t="shared" si="19"/>
        <v>22</v>
      </c>
      <c r="CX41" s="42">
        <f t="shared" si="19"/>
        <v>23</v>
      </c>
      <c r="CY41" s="42">
        <f t="shared" si="19"/>
        <v>24</v>
      </c>
      <c r="CZ41" s="42">
        <f t="shared" si="19"/>
        <v>25</v>
      </c>
      <c r="DA41" s="100"/>
      <c r="DB41" s="99"/>
      <c r="DC41" s="99"/>
      <c r="DD41" s="99"/>
      <c r="DE41" s="99"/>
      <c r="DF41" s="99"/>
      <c r="DG41" s="99"/>
      <c r="DH41" s="99"/>
      <c r="DI41" s="99"/>
      <c r="DJ41" s="99"/>
      <c r="DK41" s="99"/>
      <c r="DL41" s="99"/>
      <c r="DM41" s="99"/>
      <c r="DN41" s="99"/>
      <c r="DO41" s="99"/>
      <c r="DP41" s="99"/>
      <c r="DQ41" s="99"/>
      <c r="DR41" s="99"/>
      <c r="DS41" s="99"/>
      <c r="DT41" s="99"/>
      <c r="DU41" s="99"/>
      <c r="DV41" s="99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100"/>
      <c r="ET41" s="99"/>
      <c r="EU41" s="99"/>
      <c r="EV41" s="99"/>
      <c r="EW41" s="99"/>
      <c r="EX41" s="99"/>
      <c r="EY41" s="99"/>
      <c r="EZ41" s="99"/>
      <c r="FA41" s="99"/>
      <c r="FB41" s="99"/>
      <c r="FC41" s="99"/>
      <c r="FD41" s="99"/>
      <c r="FE41" s="99"/>
      <c r="FF41" s="99"/>
      <c r="FG41" s="99"/>
      <c r="FH41" s="99"/>
      <c r="FI41" s="99"/>
      <c r="FJ41" s="99"/>
      <c r="FK41" s="99"/>
      <c r="FL41" s="99"/>
      <c r="FM41" s="99"/>
      <c r="FN41" s="99"/>
      <c r="FO41" s="25" t="str">
        <f t="shared" si="6"/>
        <v>nonlinear model2</v>
      </c>
    </row>
    <row r="42" spans="1:171">
      <c r="A42" s="139" cm="1">
        <f t="array" aca="1" ref="A42:B42" ca="1">LINEST(INDIRECT(ADDRESS(ROW(H42),COLUMN(AD42)-CW42+1,1,1)):INDIRECT(ADDRESS(ROW(H42),COLUMN(AD42),1,1)),LN(INDIRECT(ADDRESS(ROW(H42),COLUMN(CW42)-CW42+1,1,1)):INDIRECT(ADDRESS(ROW(H42),COLUMN(CW42),1,1))))</f>
        <v>1783.3733506860103</v>
      </c>
      <c r="B42" s="141">
        <f ca="1"/>
        <v>16916.675404584927</v>
      </c>
      <c r="C42" s="141"/>
      <c r="D42" s="141"/>
      <c r="E42" s="141"/>
      <c r="F42" s="124"/>
      <c r="G42" s="39" t="s">
        <v>50</v>
      </c>
      <c r="H42" s="40">
        <v>3</v>
      </c>
      <c r="I42" s="41">
        <v>13358.629000000003</v>
      </c>
      <c r="J42" s="41">
        <v>20803.865999999976</v>
      </c>
      <c r="K42" s="41">
        <v>20017.845000000023</v>
      </c>
      <c r="L42" s="41">
        <v>15104.177</v>
      </c>
      <c r="M42" s="41">
        <v>26176.769000000015</v>
      </c>
      <c r="N42" s="41">
        <v>16747.22099999998</v>
      </c>
      <c r="O42" s="41">
        <v>26239.445000000032</v>
      </c>
      <c r="P42" s="41">
        <v>19977.948</v>
      </c>
      <c r="Q42" s="41">
        <v>24363.912000000008</v>
      </c>
      <c r="R42" s="41">
        <v>27562.603000000043</v>
      </c>
      <c r="S42" s="41">
        <v>19304.851999999999</v>
      </c>
      <c r="T42" s="41">
        <v>18896.307999999983</v>
      </c>
      <c r="U42" s="41">
        <v>18222.650000000001</v>
      </c>
      <c r="V42" s="41">
        <v>22709.071000000025</v>
      </c>
      <c r="W42" s="41">
        <v>16042.15199999998</v>
      </c>
      <c r="X42" s="41">
        <v>16228.581999999999</v>
      </c>
      <c r="Y42" s="41">
        <v>16931.791000000016</v>
      </c>
      <c r="Z42" s="41">
        <v>19747.198</v>
      </c>
      <c r="AA42" s="41">
        <v>19613.917000000005</v>
      </c>
      <c r="AB42" s="41">
        <v>23936.453999999991</v>
      </c>
      <c r="AC42" s="41">
        <v>26626.845000000001</v>
      </c>
      <c r="AD42" s="41">
        <v>29996.83699999996</v>
      </c>
      <c r="AE42" s="150">
        <f t="shared" ca="1" si="21"/>
        <v>16916.675404584927</v>
      </c>
      <c r="AF42" s="150">
        <f t="shared" ca="1" si="21"/>
        <v>18152.815614498679</v>
      </c>
      <c r="AG42" s="150">
        <f t="shared" ca="1" si="21"/>
        <v>18875.9112829318</v>
      </c>
      <c r="AH42" s="150">
        <f t="shared" ca="1" si="21"/>
        <v>19388.955824412427</v>
      </c>
      <c r="AI42" s="150">
        <f t="shared" ca="1" si="21"/>
        <v>19786.904087203628</v>
      </c>
      <c r="AJ42" s="150">
        <f t="shared" ca="1" si="21"/>
        <v>20112.051492845552</v>
      </c>
      <c r="AK42" s="150">
        <f t="shared" ca="1" si="21"/>
        <v>20386.959707239614</v>
      </c>
      <c r="AL42" s="150">
        <f t="shared" ca="1" si="21"/>
        <v>20625.09603432618</v>
      </c>
      <c r="AM42" s="150">
        <f t="shared" ca="1" si="21"/>
        <v>20835.147161278674</v>
      </c>
      <c r="AN42" s="150">
        <f t="shared" ca="1" si="21"/>
        <v>21023.044297117376</v>
      </c>
      <c r="AO42" s="150">
        <f t="shared" ca="1" si="21"/>
        <v>21193.017931829501</v>
      </c>
      <c r="AP42" s="150">
        <f t="shared" ca="1" si="21"/>
        <v>21348.191702759301</v>
      </c>
      <c r="AQ42" s="150">
        <f t="shared" ca="1" si="21"/>
        <v>21490.937734541036</v>
      </c>
      <c r="AR42" s="150">
        <f t="shared" ca="1" si="21"/>
        <v>21623.099917153366</v>
      </c>
      <c r="AS42" s="150">
        <f t="shared" ca="1" si="21"/>
        <v>21746.139965550501</v>
      </c>
      <c r="AT42" s="150">
        <f t="shared" ca="1" si="21"/>
        <v>21861.236244239928</v>
      </c>
      <c r="AU42" s="150">
        <f t="shared" ca="1" si="22"/>
        <v>21969.352579182778</v>
      </c>
      <c r="AV42" s="150">
        <f t="shared" ca="1" si="22"/>
        <v>22071.287371192422</v>
      </c>
      <c r="AW42" s="150">
        <f t="shared" ca="1" si="22"/>
        <v>22167.709412751476</v>
      </c>
      <c r="AX42" s="150">
        <f t="shared" ca="1" si="22"/>
        <v>22259.184507031125</v>
      </c>
      <c r="AY42" s="150">
        <f t="shared" ca="1" si="22"/>
        <v>22346.195585586487</v>
      </c>
      <c r="AZ42" s="150">
        <f t="shared" ca="1" si="22"/>
        <v>22429.158141743254</v>
      </c>
      <c r="BA42" s="148">
        <f t="shared" ca="1" si="22"/>
        <v>22508.432230503098</v>
      </c>
      <c r="BB42" s="148">
        <f t="shared" ca="1" si="22"/>
        <v>22584.331912673053</v>
      </c>
      <c r="BC42" s="148">
        <f t="shared" ca="1" si="22"/>
        <v>22657.132769822325</v>
      </c>
      <c r="BD42" s="45">
        <f t="shared" ca="1" si="20"/>
        <v>12659694.217179704</v>
      </c>
      <c r="BE42" s="45">
        <f t="shared" ca="1" si="20"/>
        <v>7028068.1464665784</v>
      </c>
      <c r="BF42" s="45">
        <f t="shared" ca="1" si="20"/>
        <v>1304012.6141772482</v>
      </c>
      <c r="BG42" s="45">
        <f t="shared" ca="1" si="20"/>
        <v>18359329.574133147</v>
      </c>
      <c r="BH42" s="45">
        <f t="shared" ca="1" si="20"/>
        <v>40830373.603786379</v>
      </c>
      <c r="BI42" s="45">
        <f t="shared" ca="1" si="20"/>
        <v>11322084.24558338</v>
      </c>
      <c r="BJ42" s="45">
        <f t="shared" ca="1" si="20"/>
        <v>34251584.101977006</v>
      </c>
      <c r="BK42" s="45">
        <f t="shared" ca="1" si="20"/>
        <v>418800.57833223761</v>
      </c>
      <c r="BL42" s="45">
        <f t="shared" ca="1" si="20"/>
        <v>12452181.286996001</v>
      </c>
      <c r="BM42" s="45">
        <f t="shared" ca="1" si="20"/>
        <v>42765828.028448425</v>
      </c>
      <c r="BN42" s="45">
        <f t="shared" ca="1" si="20"/>
        <v>3565170.5861215731</v>
      </c>
      <c r="BO42" s="45">
        <f t="shared" ca="1" si="20"/>
        <v>6011733.6918567438</v>
      </c>
      <c r="BP42" s="45">
        <f t="shared" ca="1" si="20"/>
        <v>10681704.715751367</v>
      </c>
      <c r="BQ42" s="45">
        <f t="shared" ca="1" si="20"/>
        <v>1179333.1927791464</v>
      </c>
      <c r="BR42" s="45">
        <f t="shared" ca="1" si="20"/>
        <v>32535478.711145174</v>
      </c>
      <c r="BS42" s="45">
        <f t="shared" ca="1" si="8"/>
        <v>31726793.83515409</v>
      </c>
      <c r="BT42" s="45">
        <f t="shared" ca="1" si="8"/>
        <v>25377026.664058324</v>
      </c>
      <c r="BU42" s="45">
        <f t="shared" ca="1" si="8"/>
        <v>5401391.4052895866</v>
      </c>
      <c r="BV42" s="45">
        <f t="shared" ca="1" si="8"/>
        <v>6521855.6874269778</v>
      </c>
      <c r="BW42" s="45">
        <f t="shared" ca="1" si="8"/>
        <v>2813232.9520440367</v>
      </c>
      <c r="BX42" s="45">
        <f t="shared" ca="1" si="8"/>
        <v>18323959.40911876</v>
      </c>
      <c r="BY42" s="45">
        <f t="shared" ca="1" si="8"/>
        <v>57269763.301705524</v>
      </c>
      <c r="BZ42" s="92">
        <f t="shared" ca="1" si="4"/>
        <v>4171.3274568476909</v>
      </c>
      <c r="CA42" s="47">
        <f t="shared" ca="1" si="5"/>
        <v>0.13905891000600151</v>
      </c>
      <c r="CB42" s="42">
        <f t="shared" si="17"/>
        <v>1</v>
      </c>
      <c r="CC42" s="42">
        <f t="shared" si="18"/>
        <v>2</v>
      </c>
      <c r="CD42" s="42">
        <f t="shared" si="18"/>
        <v>3</v>
      </c>
      <c r="CE42" s="42">
        <f t="shared" si="18"/>
        <v>4</v>
      </c>
      <c r="CF42" s="42">
        <f t="shared" si="18"/>
        <v>5</v>
      </c>
      <c r="CG42" s="42">
        <f t="shared" si="18"/>
        <v>6</v>
      </c>
      <c r="CH42" s="42">
        <f t="shared" si="18"/>
        <v>7</v>
      </c>
      <c r="CI42" s="42">
        <f t="shared" si="18"/>
        <v>8</v>
      </c>
      <c r="CJ42" s="42">
        <f t="shared" si="18"/>
        <v>9</v>
      </c>
      <c r="CK42" s="42">
        <f t="shared" si="18"/>
        <v>10</v>
      </c>
      <c r="CL42" s="42">
        <f t="shared" si="18"/>
        <v>11</v>
      </c>
      <c r="CM42" s="42">
        <f t="shared" si="18"/>
        <v>12</v>
      </c>
      <c r="CN42" s="42">
        <f t="shared" si="18"/>
        <v>13</v>
      </c>
      <c r="CO42" s="42">
        <f t="shared" si="18"/>
        <v>14</v>
      </c>
      <c r="CP42" s="42">
        <f t="shared" si="18"/>
        <v>15</v>
      </c>
      <c r="CQ42" s="42">
        <f t="shared" si="18"/>
        <v>16</v>
      </c>
      <c r="CR42" s="42">
        <f t="shared" si="18"/>
        <v>17</v>
      </c>
      <c r="CS42" s="42">
        <f t="shared" si="19"/>
        <v>18</v>
      </c>
      <c r="CT42" s="42">
        <f t="shared" si="19"/>
        <v>19</v>
      </c>
      <c r="CU42" s="42">
        <f t="shared" si="19"/>
        <v>20</v>
      </c>
      <c r="CV42" s="42">
        <f t="shared" si="19"/>
        <v>21</v>
      </c>
      <c r="CW42" s="42">
        <f t="shared" si="19"/>
        <v>22</v>
      </c>
      <c r="CX42" s="42">
        <f t="shared" si="19"/>
        <v>23</v>
      </c>
      <c r="CY42" s="42">
        <f t="shared" si="19"/>
        <v>24</v>
      </c>
      <c r="CZ42" s="42">
        <f t="shared" si="19"/>
        <v>25</v>
      </c>
      <c r="DA42" s="100"/>
      <c r="DB42" s="99"/>
      <c r="DC42" s="99"/>
      <c r="DD42" s="99"/>
      <c r="DE42" s="99"/>
      <c r="DF42" s="99"/>
      <c r="DG42" s="99"/>
      <c r="DH42" s="99"/>
      <c r="DI42" s="99"/>
      <c r="DJ42" s="99"/>
      <c r="DK42" s="99"/>
      <c r="DL42" s="99"/>
      <c r="DM42" s="99"/>
      <c r="DN42" s="99"/>
      <c r="DO42" s="99"/>
      <c r="DP42" s="99"/>
      <c r="DQ42" s="99"/>
      <c r="DR42" s="99"/>
      <c r="DS42" s="99"/>
      <c r="DT42" s="99"/>
      <c r="DU42" s="99"/>
      <c r="DV42" s="99"/>
      <c r="DW42" s="41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100"/>
      <c r="ET42" s="99"/>
      <c r="EU42" s="99"/>
      <c r="EV42" s="99"/>
      <c r="EW42" s="99"/>
      <c r="EX42" s="99"/>
      <c r="EY42" s="99"/>
      <c r="EZ42" s="99"/>
      <c r="FA42" s="99"/>
      <c r="FB42" s="99"/>
      <c r="FC42" s="99"/>
      <c r="FD42" s="99"/>
      <c r="FE42" s="99"/>
      <c r="FF42" s="99"/>
      <c r="FG42" s="99"/>
      <c r="FH42" s="99"/>
      <c r="FI42" s="99"/>
      <c r="FJ42" s="99"/>
      <c r="FK42" s="99"/>
      <c r="FL42" s="99"/>
      <c r="FM42" s="99"/>
      <c r="FN42" s="99"/>
      <c r="FO42" s="25" t="str">
        <f t="shared" si="6"/>
        <v>nonlinear model3</v>
      </c>
    </row>
    <row r="43" spans="1:171">
      <c r="A43" s="139" cm="1">
        <f t="array" aca="1" ref="A43:B43" ca="1">LINEST(INDIRECT(ADDRESS(ROW(H43),COLUMN(AD43)-CW43+1,1,1)):INDIRECT(ADDRESS(ROW(H43),COLUMN(AD43),1,1)),LN(INDIRECT(ADDRESS(ROW(H43),COLUMN(CW43)-CW43+1,1,1)):INDIRECT(ADDRESS(ROW(H43),COLUMN(CW43),1,1))))</f>
        <v>-16.47474097524643</v>
      </c>
      <c r="B43" s="141">
        <f ca="1"/>
        <v>1377.5655526152582</v>
      </c>
      <c r="C43" s="141"/>
      <c r="D43" s="141"/>
      <c r="E43" s="141"/>
      <c r="F43" s="131"/>
      <c r="G43" s="39" t="s">
        <v>50</v>
      </c>
      <c r="H43" s="40">
        <v>4</v>
      </c>
      <c r="I43" s="41">
        <v>400.44400000000007</v>
      </c>
      <c r="J43" s="41">
        <v>2589.7540000000013</v>
      </c>
      <c r="K43" s="41">
        <v>1336.3789999999999</v>
      </c>
      <c r="L43" s="41">
        <v>1186.7760000000001</v>
      </c>
      <c r="M43" s="41">
        <v>839.32799999999986</v>
      </c>
      <c r="N43" s="41">
        <v>2024.5600000000004</v>
      </c>
      <c r="O43" s="41">
        <v>1502.1150000000002</v>
      </c>
      <c r="P43" s="41">
        <v>1294.5919999999994</v>
      </c>
      <c r="Q43" s="41">
        <v>1067.4629999999997</v>
      </c>
      <c r="R43" s="41">
        <v>2076.5049999999987</v>
      </c>
      <c r="S43" s="41">
        <v>2051.2060000000006</v>
      </c>
      <c r="T43" s="41">
        <v>1039.9769999999999</v>
      </c>
      <c r="U43" s="41">
        <v>922.57100000000003</v>
      </c>
      <c r="V43" s="41">
        <v>380.83800000000002</v>
      </c>
      <c r="W43" s="41">
        <v>2476.893</v>
      </c>
      <c r="X43" s="41">
        <v>453.2119999999997</v>
      </c>
      <c r="Y43" s="41">
        <v>2092.7499999999995</v>
      </c>
      <c r="Z43" s="41">
        <v>823.12700000000018</v>
      </c>
      <c r="AA43" s="41">
        <v>1106.48</v>
      </c>
      <c r="AB43" s="41">
        <v>864.59699999999987</v>
      </c>
      <c r="AC43" s="41">
        <v>1086.4360000000004</v>
      </c>
      <c r="AD43" s="41">
        <v>1891.8890000000001</v>
      </c>
      <c r="AE43" s="150">
        <f t="shared" ca="1" si="21"/>
        <v>1377.5655526152582</v>
      </c>
      <c r="AF43" s="150">
        <f t="shared" ca="1" si="21"/>
        <v>1366.1461323578108</v>
      </c>
      <c r="AG43" s="150">
        <f t="shared" ca="1" si="21"/>
        <v>1359.4661997272285</v>
      </c>
      <c r="AH43" s="150">
        <f t="shared" ca="1" si="21"/>
        <v>1354.7267121003633</v>
      </c>
      <c r="AI43" s="150">
        <f t="shared" ca="1" si="21"/>
        <v>1351.050479892165</v>
      </c>
      <c r="AJ43" s="150">
        <f t="shared" ca="1" si="21"/>
        <v>1348.0467794697809</v>
      </c>
      <c r="AK43" s="150">
        <f t="shared" ca="1" si="21"/>
        <v>1345.5071869484686</v>
      </c>
      <c r="AL43" s="150">
        <f t="shared" ca="1" si="21"/>
        <v>1343.3072918429157</v>
      </c>
      <c r="AM43" s="150">
        <f t="shared" ca="1" si="21"/>
        <v>1341.3668468391986</v>
      </c>
      <c r="AN43" s="150">
        <f t="shared" ca="1" si="21"/>
        <v>1339.6310596347175</v>
      </c>
      <c r="AO43" s="150">
        <f t="shared" ca="1" si="21"/>
        <v>1338.060849110137</v>
      </c>
      <c r="AP43" s="150">
        <f t="shared" ca="1" si="21"/>
        <v>1336.6273592123334</v>
      </c>
      <c r="AQ43" s="150">
        <f t="shared" ca="1" si="21"/>
        <v>1335.3086763364547</v>
      </c>
      <c r="AR43" s="150">
        <f t="shared" ca="1" si="21"/>
        <v>1334.0877666910212</v>
      </c>
      <c r="AS43" s="150">
        <f t="shared" ca="1" si="21"/>
        <v>1332.9511270041353</v>
      </c>
      <c r="AT43" s="150">
        <f t="shared" ca="1" si="21"/>
        <v>1331.8878715854682</v>
      </c>
      <c r="AU43" s="150">
        <f t="shared" ca="1" si="22"/>
        <v>1330.8890966443203</v>
      </c>
      <c r="AV43" s="150">
        <f t="shared" ca="1" si="22"/>
        <v>1329.9474265817512</v>
      </c>
      <c r="AW43" s="150">
        <f t="shared" ca="1" si="22"/>
        <v>1329.056683116072</v>
      </c>
      <c r="AX43" s="150">
        <f t="shared" ca="1" si="22"/>
        <v>1328.2116393772701</v>
      </c>
      <c r="AY43" s="150">
        <f t="shared" ca="1" si="22"/>
        <v>1327.407834060439</v>
      </c>
      <c r="AZ43" s="150">
        <f t="shared" ca="1" si="22"/>
        <v>1326.6414288526896</v>
      </c>
      <c r="BA43" s="148">
        <f t="shared" ca="1" si="22"/>
        <v>1325.909097578442</v>
      </c>
      <c r="BB43" s="148">
        <f t="shared" ca="1" si="22"/>
        <v>1325.207938954886</v>
      </c>
      <c r="BC43" s="148">
        <f t="shared" ca="1" si="22"/>
        <v>1324.535407169072</v>
      </c>
      <c r="BD43" s="45">
        <f t="shared" ca="1" si="20"/>
        <v>954766.52858525258</v>
      </c>
      <c r="BE43" s="45">
        <f t="shared" ca="1" si="20"/>
        <v>1497216.2137558684</v>
      </c>
      <c r="BF43" s="45">
        <f t="shared" ca="1" si="20"/>
        <v>533.01879124494474</v>
      </c>
      <c r="BG43" s="45">
        <f t="shared" ca="1" si="20"/>
        <v>28207.441695019108</v>
      </c>
      <c r="BH43" s="45">
        <f t="shared" ca="1" si="20"/>
        <v>261859.89642698731</v>
      </c>
      <c r="BI43" s="45">
        <f t="shared" ca="1" si="20"/>
        <v>457670.13755216944</v>
      </c>
      <c r="BJ43" s="45">
        <f t="shared" ca="1" si="20"/>
        <v>24526.007108783469</v>
      </c>
      <c r="BK43" s="45">
        <f t="shared" ca="1" si="20"/>
        <v>2373.1796593405033</v>
      </c>
      <c r="BL43" s="45">
        <f t="shared" ca="1" si="20"/>
        <v>75023.317313311316</v>
      </c>
      <c r="BM43" s="45">
        <f t="shared" ca="1" si="20"/>
        <v>542983.20398945606</v>
      </c>
      <c r="BN43" s="45">
        <f t="shared" ca="1" si="20"/>
        <v>508576.00623772625</v>
      </c>
      <c r="BO43" s="45">
        <f t="shared" ca="1" si="20"/>
        <v>88001.435620806544</v>
      </c>
      <c r="BP43" s="45">
        <f t="shared" ca="1" si="20"/>
        <v>170352.38946761601</v>
      </c>
      <c r="BQ43" s="45">
        <f t="shared" ca="1" si="20"/>
        <v>908685.11769648641</v>
      </c>
      <c r="BR43" s="45">
        <f t="shared" ca="1" si="20"/>
        <v>1308603.0087932872</v>
      </c>
      <c r="BS43" s="45">
        <f t="shared" ca="1" si="8"/>
        <v>772071.28730648267</v>
      </c>
      <c r="BT43" s="45">
        <f t="shared" ca="1" si="8"/>
        <v>580432.03606193163</v>
      </c>
      <c r="BU43" s="45">
        <f t="shared" ca="1" si="8"/>
        <v>256866.94480050806</v>
      </c>
      <c r="BV43" s="45">
        <f t="shared" ca="1" si="8"/>
        <v>49540.379866952324</v>
      </c>
      <c r="BW43" s="45">
        <f t="shared" ca="1" si="8"/>
        <v>214938.53384491632</v>
      </c>
      <c r="BX43" s="45">
        <f t="shared" ca="1" si="8"/>
        <v>58067.424810451557</v>
      </c>
      <c r="BY43" s="45">
        <f t="shared" ca="1" si="8"/>
        <v>319504.81668793387</v>
      </c>
      <c r="BZ43" s="92">
        <f t="shared" ca="1" si="4"/>
        <v>642.46677756598751</v>
      </c>
      <c r="CA43" s="47">
        <f t="shared" ca="1" si="5"/>
        <v>0.33959010151546282</v>
      </c>
      <c r="CB43" s="42">
        <f t="shared" si="17"/>
        <v>1</v>
      </c>
      <c r="CC43" s="42">
        <f t="shared" si="18"/>
        <v>2</v>
      </c>
      <c r="CD43" s="42">
        <f t="shared" si="18"/>
        <v>3</v>
      </c>
      <c r="CE43" s="42">
        <f t="shared" si="18"/>
        <v>4</v>
      </c>
      <c r="CF43" s="42">
        <f t="shared" si="18"/>
        <v>5</v>
      </c>
      <c r="CG43" s="42">
        <f t="shared" si="18"/>
        <v>6</v>
      </c>
      <c r="CH43" s="42">
        <f t="shared" si="18"/>
        <v>7</v>
      </c>
      <c r="CI43" s="42">
        <f t="shared" si="18"/>
        <v>8</v>
      </c>
      <c r="CJ43" s="42">
        <f t="shared" si="18"/>
        <v>9</v>
      </c>
      <c r="CK43" s="42">
        <f t="shared" si="18"/>
        <v>10</v>
      </c>
      <c r="CL43" s="42">
        <f t="shared" si="18"/>
        <v>11</v>
      </c>
      <c r="CM43" s="42">
        <f t="shared" si="18"/>
        <v>12</v>
      </c>
      <c r="CN43" s="42">
        <f t="shared" si="18"/>
        <v>13</v>
      </c>
      <c r="CO43" s="42">
        <f t="shared" si="18"/>
        <v>14</v>
      </c>
      <c r="CP43" s="42">
        <f t="shared" si="18"/>
        <v>15</v>
      </c>
      <c r="CQ43" s="42">
        <f t="shared" si="18"/>
        <v>16</v>
      </c>
      <c r="CR43" s="42">
        <f t="shared" si="18"/>
        <v>17</v>
      </c>
      <c r="CS43" s="42">
        <f t="shared" si="19"/>
        <v>18</v>
      </c>
      <c r="CT43" s="42">
        <f t="shared" si="19"/>
        <v>19</v>
      </c>
      <c r="CU43" s="42">
        <f t="shared" si="19"/>
        <v>20</v>
      </c>
      <c r="CV43" s="42">
        <f t="shared" si="19"/>
        <v>21</v>
      </c>
      <c r="CW43" s="42">
        <f t="shared" si="19"/>
        <v>22</v>
      </c>
      <c r="CX43" s="42">
        <f t="shared" si="19"/>
        <v>23</v>
      </c>
      <c r="CY43" s="42">
        <f t="shared" si="19"/>
        <v>24</v>
      </c>
      <c r="CZ43" s="42">
        <f t="shared" si="19"/>
        <v>25</v>
      </c>
      <c r="DA43" s="100"/>
      <c r="DB43" s="99"/>
      <c r="DC43" s="99"/>
      <c r="DD43" s="99"/>
      <c r="DE43" s="99"/>
      <c r="DF43" s="99"/>
      <c r="DG43" s="99"/>
      <c r="DH43" s="99"/>
      <c r="DI43" s="99"/>
      <c r="DJ43" s="99"/>
      <c r="DK43" s="99"/>
      <c r="DL43" s="99"/>
      <c r="DM43" s="99"/>
      <c r="DN43" s="99"/>
      <c r="DO43" s="99"/>
      <c r="DP43" s="99"/>
      <c r="DQ43" s="99"/>
      <c r="DR43" s="99"/>
      <c r="DS43" s="99"/>
      <c r="DT43" s="99"/>
      <c r="DU43" s="99"/>
      <c r="DV43" s="99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100"/>
      <c r="ET43" s="99"/>
      <c r="EU43" s="99"/>
      <c r="EV43" s="99"/>
      <c r="EW43" s="99"/>
      <c r="EX43" s="99"/>
      <c r="EY43" s="99"/>
      <c r="EZ43" s="99"/>
      <c r="FA43" s="99"/>
      <c r="FB43" s="99"/>
      <c r="FC43" s="99"/>
      <c r="FD43" s="99"/>
      <c r="FE43" s="99"/>
      <c r="FF43" s="99"/>
      <c r="FG43" s="99"/>
      <c r="FH43" s="99"/>
      <c r="FI43" s="99"/>
      <c r="FJ43" s="99"/>
      <c r="FK43" s="99"/>
      <c r="FL43" s="99"/>
      <c r="FM43" s="99"/>
      <c r="FN43" s="99"/>
      <c r="FO43" s="25" t="str">
        <f t="shared" si="6"/>
        <v>nonlinear model4</v>
      </c>
    </row>
    <row r="44" spans="1:171">
      <c r="A44" s="139" cm="1">
        <f t="array" aca="1" ref="A44:B44" ca="1">LINEST(INDIRECT(ADDRESS(ROW(H44),COLUMN(AD44)-CW44+1,1,1)):INDIRECT(ADDRESS(ROW(H44),COLUMN(AD44),1,1)),LN(INDIRECT(ADDRESS(ROW(H44),COLUMN(CW44)-CW44+1,1,1)):INDIRECT(ADDRESS(ROW(H44),COLUMN(CW44),1,1))))</f>
        <v>-47.705029537736046</v>
      </c>
      <c r="B44" s="141">
        <f ca="1"/>
        <v>316.80509718719367</v>
      </c>
      <c r="C44" s="141"/>
      <c r="D44" s="141"/>
      <c r="E44" s="141"/>
      <c r="F44" s="124"/>
      <c r="G44" s="39" t="s">
        <v>50</v>
      </c>
      <c r="H44" s="40">
        <v>5</v>
      </c>
      <c r="I44" s="41">
        <v>590.74400000000014</v>
      </c>
      <c r="J44" s="41">
        <v>126.19599999999998</v>
      </c>
      <c r="K44" s="41">
        <v>73.710000000000008</v>
      </c>
      <c r="L44" s="41">
        <v>245.74300000000002</v>
      </c>
      <c r="M44" s="41">
        <v>257</v>
      </c>
      <c r="N44" s="41">
        <v>246</v>
      </c>
      <c r="O44" s="41">
        <v>142</v>
      </c>
      <c r="P44" s="41">
        <v>141</v>
      </c>
      <c r="Q44" s="41">
        <v>140</v>
      </c>
      <c r="R44" s="41">
        <v>269</v>
      </c>
      <c r="S44" s="41">
        <v>255</v>
      </c>
      <c r="T44" s="41">
        <v>268</v>
      </c>
      <c r="U44" s="41">
        <v>148</v>
      </c>
      <c r="V44" s="41">
        <v>141</v>
      </c>
      <c r="W44" s="41">
        <v>130</v>
      </c>
      <c r="X44" s="41">
        <v>256</v>
      </c>
      <c r="Y44" s="41">
        <v>263</v>
      </c>
      <c r="Z44" s="41">
        <v>278</v>
      </c>
      <c r="AA44" s="41">
        <v>133</v>
      </c>
      <c r="AB44" s="41">
        <v>133</v>
      </c>
      <c r="AC44" s="41">
        <v>148</v>
      </c>
      <c r="AD44" s="41">
        <v>273</v>
      </c>
      <c r="AE44" s="150">
        <f t="shared" ca="1" si="21"/>
        <v>316.80509718719367</v>
      </c>
      <c r="AF44" s="150">
        <f t="shared" ca="1" si="21"/>
        <v>283.73849046458304</v>
      </c>
      <c r="AG44" s="150">
        <f t="shared" ca="1" si="21"/>
        <v>264.39576550576169</v>
      </c>
      <c r="AH44" s="150">
        <f t="shared" ca="1" si="21"/>
        <v>250.67188374197235</v>
      </c>
      <c r="AI44" s="150">
        <f t="shared" ca="1" si="21"/>
        <v>240.02681403537267</v>
      </c>
      <c r="AJ44" s="150">
        <f t="shared" ca="1" si="21"/>
        <v>231.32915878315106</v>
      </c>
      <c r="AK44" s="150">
        <f t="shared" ca="1" si="21"/>
        <v>223.97539604872958</v>
      </c>
      <c r="AL44" s="150">
        <f t="shared" ca="1" si="21"/>
        <v>217.60527701936172</v>
      </c>
      <c r="AM44" s="150">
        <f t="shared" ca="1" si="21"/>
        <v>211.98643382432971</v>
      </c>
      <c r="AN44" s="150">
        <f t="shared" ca="1" si="21"/>
        <v>206.96020731276201</v>
      </c>
      <c r="AO44" s="150">
        <f t="shared" ca="1" si="21"/>
        <v>202.41343236994976</v>
      </c>
      <c r="AP44" s="150">
        <f t="shared" ca="1" si="21"/>
        <v>198.26255206054037</v>
      </c>
      <c r="AQ44" s="150">
        <f t="shared" ca="1" si="21"/>
        <v>194.44411232669398</v>
      </c>
      <c r="AR44" s="150">
        <f t="shared" ca="1" si="21"/>
        <v>190.90878932611895</v>
      </c>
      <c r="AS44" s="150">
        <f t="shared" ca="1" si="21"/>
        <v>187.61748235394069</v>
      </c>
      <c r="AT44" s="150">
        <f t="shared" ca="1" si="21"/>
        <v>184.53867029675106</v>
      </c>
      <c r="AU44" s="150">
        <f t="shared" ca="1" si="22"/>
        <v>181.64657092228396</v>
      </c>
      <c r="AV44" s="150">
        <f t="shared" ca="1" si="22"/>
        <v>178.91982710171908</v>
      </c>
      <c r="AW44" s="150">
        <f t="shared" ca="1" si="22"/>
        <v>176.34054871399726</v>
      </c>
      <c r="AX44" s="150">
        <f t="shared" ca="1" si="22"/>
        <v>173.89360059015138</v>
      </c>
      <c r="AY44" s="150">
        <f t="shared" ca="1" si="22"/>
        <v>171.56606436729763</v>
      </c>
      <c r="AZ44" s="150">
        <f t="shared" ca="1" si="22"/>
        <v>169.3468256473391</v>
      </c>
      <c r="BA44" s="148">
        <f t="shared" ca="1" si="22"/>
        <v>167.22625300089305</v>
      </c>
      <c r="BB44" s="148">
        <f t="shared" ca="1" si="22"/>
        <v>165.19594533792974</v>
      </c>
      <c r="BC44" s="148">
        <f t="shared" ca="1" si="22"/>
        <v>163.24853088355167</v>
      </c>
      <c r="BD44" s="45">
        <f t="shared" ca="1" si="20"/>
        <v>75042.522474284226</v>
      </c>
      <c r="BE44" s="45">
        <f t="shared" ca="1" si="20"/>
        <v>24819.636301783248</v>
      </c>
      <c r="BF44" s="45">
        <f t="shared" ca="1" si="20"/>
        <v>36361.061166518331</v>
      </c>
      <c r="BG44" s="45">
        <f t="shared" ca="1" si="20"/>
        <v>24.293894941879138</v>
      </c>
      <c r="BH44" s="45">
        <f t="shared" ca="1" si="20"/>
        <v>288.08904178982232</v>
      </c>
      <c r="BI44" s="45">
        <f t="shared" ca="1" si="20"/>
        <v>215.23358200999374</v>
      </c>
      <c r="BJ44" s="45">
        <f t="shared" ca="1" si="20"/>
        <v>6719.9655573460686</v>
      </c>
      <c r="BK44" s="45">
        <f t="shared" ca="1" si="20"/>
        <v>5868.3684672131494</v>
      </c>
      <c r="BL44" s="45">
        <f t="shared" ca="1" si="20"/>
        <v>5182.0466547446003</v>
      </c>
      <c r="BM44" s="45">
        <f t="shared" ca="1" si="20"/>
        <v>3848.9358766754685</v>
      </c>
      <c r="BN44" s="45">
        <f t="shared" ca="1" si="20"/>
        <v>2765.3470951098479</v>
      </c>
      <c r="BO44" s="45">
        <f t="shared" ca="1" si="20"/>
        <v>4863.3116451088417</v>
      </c>
      <c r="BP44" s="45">
        <f t="shared" ca="1" si="20"/>
        <v>2157.0555698145681</v>
      </c>
      <c r="BQ44" s="45">
        <f t="shared" ca="1" si="20"/>
        <v>2490.887251998925</v>
      </c>
      <c r="BR44" s="45">
        <f t="shared" ca="1" si="20"/>
        <v>3319.7742728066664</v>
      </c>
      <c r="BS44" s="45">
        <f t="shared" ca="1" si="8"/>
        <v>5106.7216429564487</v>
      </c>
      <c r="BT44" s="45">
        <f t="shared" ca="1" si="8"/>
        <v>6618.3804227029741</v>
      </c>
      <c r="BU44" s="45">
        <f t="shared" ca="1" si="8"/>
        <v>9816.8806615532412</v>
      </c>
      <c r="BV44" s="45">
        <f t="shared" ca="1" si="8"/>
        <v>1878.4031628303699</v>
      </c>
      <c r="BW44" s="45">
        <f t="shared" ca="1" si="8"/>
        <v>1672.2865692268292</v>
      </c>
      <c r="BX44" s="45">
        <f t="shared" ca="1" si="8"/>
        <v>555.3593897636149</v>
      </c>
      <c r="BY44" s="45">
        <f t="shared" ca="1" si="8"/>
        <v>10743.980553383119</v>
      </c>
      <c r="BZ44" s="92">
        <f t="shared" ca="1" si="4"/>
        <v>97.784210766398132</v>
      </c>
      <c r="CA44" s="47">
        <f t="shared" ca="1" si="5"/>
        <v>0.35818392222123857</v>
      </c>
      <c r="CB44" s="42">
        <f t="shared" si="17"/>
        <v>1</v>
      </c>
      <c r="CC44" s="42">
        <f t="shared" si="18"/>
        <v>2</v>
      </c>
      <c r="CD44" s="42">
        <f t="shared" si="18"/>
        <v>3</v>
      </c>
      <c r="CE44" s="42">
        <f t="shared" si="18"/>
        <v>4</v>
      </c>
      <c r="CF44" s="42">
        <f t="shared" si="18"/>
        <v>5</v>
      </c>
      <c r="CG44" s="42">
        <f t="shared" si="18"/>
        <v>6</v>
      </c>
      <c r="CH44" s="42">
        <f t="shared" si="18"/>
        <v>7</v>
      </c>
      <c r="CI44" s="42">
        <f t="shared" si="18"/>
        <v>8</v>
      </c>
      <c r="CJ44" s="42">
        <f t="shared" si="18"/>
        <v>9</v>
      </c>
      <c r="CK44" s="42">
        <f t="shared" si="18"/>
        <v>10</v>
      </c>
      <c r="CL44" s="42">
        <f t="shared" si="18"/>
        <v>11</v>
      </c>
      <c r="CM44" s="42">
        <f t="shared" si="18"/>
        <v>12</v>
      </c>
      <c r="CN44" s="42">
        <f t="shared" si="18"/>
        <v>13</v>
      </c>
      <c r="CO44" s="42">
        <f t="shared" si="18"/>
        <v>14</v>
      </c>
      <c r="CP44" s="42">
        <f t="shared" si="18"/>
        <v>15</v>
      </c>
      <c r="CQ44" s="42">
        <f t="shared" si="18"/>
        <v>16</v>
      </c>
      <c r="CR44" s="42">
        <f t="shared" si="18"/>
        <v>17</v>
      </c>
      <c r="CS44" s="42">
        <f t="shared" si="19"/>
        <v>18</v>
      </c>
      <c r="CT44" s="42">
        <f t="shared" si="19"/>
        <v>19</v>
      </c>
      <c r="CU44" s="42">
        <f t="shared" si="19"/>
        <v>20</v>
      </c>
      <c r="CV44" s="42">
        <f t="shared" si="19"/>
        <v>21</v>
      </c>
      <c r="CW44" s="42">
        <f t="shared" si="19"/>
        <v>22</v>
      </c>
      <c r="CX44" s="42">
        <f t="shared" si="19"/>
        <v>23</v>
      </c>
      <c r="CY44" s="42">
        <f t="shared" si="19"/>
        <v>24</v>
      </c>
      <c r="CZ44" s="42">
        <f t="shared" si="19"/>
        <v>25</v>
      </c>
      <c r="DA44" s="100"/>
      <c r="DB44" s="99"/>
      <c r="DC44" s="99"/>
      <c r="DD44" s="99"/>
      <c r="DE44" s="99"/>
      <c r="DF44" s="99"/>
      <c r="DG44" s="99"/>
      <c r="DH44" s="99"/>
      <c r="DI44" s="99"/>
      <c r="DJ44" s="99"/>
      <c r="DK44" s="99"/>
      <c r="DL44" s="99"/>
      <c r="DM44" s="99"/>
      <c r="DN44" s="99"/>
      <c r="DO44" s="99"/>
      <c r="DP44" s="99"/>
      <c r="DQ44" s="99"/>
      <c r="DR44" s="99"/>
      <c r="DS44" s="99"/>
      <c r="DT44" s="99"/>
      <c r="DU44" s="99"/>
      <c r="DV44" s="99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1"/>
      <c r="ES44" s="100"/>
      <c r="ET44" s="99"/>
      <c r="EU44" s="99"/>
      <c r="EV44" s="99"/>
      <c r="EW44" s="99"/>
      <c r="EX44" s="99"/>
      <c r="EY44" s="99"/>
      <c r="EZ44" s="99"/>
      <c r="FA44" s="99"/>
      <c r="FB44" s="99"/>
      <c r="FC44" s="99"/>
      <c r="FD44" s="99"/>
      <c r="FE44" s="99"/>
      <c r="FF44" s="99"/>
      <c r="FG44" s="99"/>
      <c r="FH44" s="99"/>
      <c r="FI44" s="99"/>
      <c r="FJ44" s="99"/>
      <c r="FK44" s="99"/>
      <c r="FL44" s="99"/>
      <c r="FM44" s="99"/>
      <c r="FN44" s="99"/>
      <c r="FO44" s="25" t="str">
        <f t="shared" si="6"/>
        <v>nonlinear model5</v>
      </c>
    </row>
    <row r="45" spans="1:171">
      <c r="A45" s="139" cm="1">
        <f t="array" aca="1" ref="A45:B45" ca="1">LINEST(INDIRECT(ADDRESS(ROW(H45),COLUMN(AD45)-CW45+1,1,1)):INDIRECT(ADDRESS(ROW(H45),COLUMN(AD45),1,1)),LN(INDIRECT(ADDRESS(ROW(H45),COLUMN(CW45)-CW45+1,1,1)):INDIRECT(ADDRESS(ROW(H45),COLUMN(CW45),1,1))))</f>
        <v>288.62698042592484</v>
      </c>
      <c r="B45" s="141">
        <f ca="1"/>
        <v>106.56310209597166</v>
      </c>
      <c r="C45" s="141"/>
      <c r="D45" s="141"/>
      <c r="E45" s="141"/>
      <c r="F45" s="131"/>
      <c r="G45" s="39" t="s">
        <v>50</v>
      </c>
      <c r="H45" s="40">
        <v>6</v>
      </c>
      <c r="I45" s="41"/>
      <c r="J45" s="41"/>
      <c r="K45" s="41"/>
      <c r="L45" s="41"/>
      <c r="M45" s="41"/>
      <c r="N45" s="41"/>
      <c r="O45" s="41">
        <v>266.03799999999995</v>
      </c>
      <c r="P45" s="41">
        <v>232.57400000000007</v>
      </c>
      <c r="Q45" s="41">
        <v>115.23299999999999</v>
      </c>
      <c r="R45" s="41">
        <v>203.98799999999997</v>
      </c>
      <c r="S45" s="41">
        <v>180.53700000000001</v>
      </c>
      <c r="T45" s="41">
        <v>869.18299999999977</v>
      </c>
      <c r="U45" s="41">
        <v>1078.4489999999998</v>
      </c>
      <c r="V45" s="41">
        <v>1258.0669999999996</v>
      </c>
      <c r="W45" s="41">
        <v>1027.184</v>
      </c>
      <c r="X45" s="41">
        <v>624.39099999999996</v>
      </c>
      <c r="Y45" s="41">
        <v>1201.8340000000001</v>
      </c>
      <c r="Z45" s="41">
        <v>548.27800000000002</v>
      </c>
      <c r="AA45" s="41">
        <v>1219.8130000000006</v>
      </c>
      <c r="AB45" s="41">
        <v>393.93799999999987</v>
      </c>
      <c r="AC45" s="41">
        <v>240.81100000000015</v>
      </c>
      <c r="AD45" s="41">
        <v>1097.4179999999999</v>
      </c>
      <c r="AE45" s="150" t="str">
        <f t="shared" si="21"/>
        <v/>
      </c>
      <c r="AF45" s="150" t="str">
        <f t="shared" si="21"/>
        <v/>
      </c>
      <c r="AG45" s="150" t="str">
        <f t="shared" si="21"/>
        <v/>
      </c>
      <c r="AH45" s="150" t="str">
        <f t="shared" si="21"/>
        <v/>
      </c>
      <c r="AI45" s="150" t="str">
        <f t="shared" si="21"/>
        <v/>
      </c>
      <c r="AJ45" s="150" t="str">
        <f t="shared" si="21"/>
        <v/>
      </c>
      <c r="AK45" s="150">
        <f t="shared" ca="1" si="21"/>
        <v>106.56310209597166</v>
      </c>
      <c r="AL45" s="150">
        <f t="shared" ca="1" si="21"/>
        <v>306.62407981173197</v>
      </c>
      <c r="AM45" s="150">
        <f t="shared" ca="1" si="21"/>
        <v>423.6522496330627</v>
      </c>
      <c r="AN45" s="150">
        <f t="shared" ca="1" si="21"/>
        <v>506.68505752749229</v>
      </c>
      <c r="AO45" s="150">
        <f t="shared" ca="1" si="21"/>
        <v>571.09030694482999</v>
      </c>
      <c r="AP45" s="150">
        <f t="shared" ca="1" si="21"/>
        <v>623.71322734882301</v>
      </c>
      <c r="AQ45" s="150">
        <f t="shared" ca="1" si="21"/>
        <v>668.20527259796802</v>
      </c>
      <c r="AR45" s="150">
        <f t="shared" ca="1" si="21"/>
        <v>706.74603524325255</v>
      </c>
      <c r="AS45" s="150">
        <f t="shared" ca="1" si="21"/>
        <v>740.74139717015373</v>
      </c>
      <c r="AT45" s="150">
        <f t="shared" ca="1" si="21"/>
        <v>771.15128466059048</v>
      </c>
      <c r="AU45" s="150">
        <f t="shared" ca="1" si="22"/>
        <v>798.66037406136468</v>
      </c>
      <c r="AV45" s="150">
        <f t="shared" ca="1" si="22"/>
        <v>823.77420506458327</v>
      </c>
      <c r="AW45" s="150">
        <f t="shared" ca="1" si="22"/>
        <v>846.87669008551109</v>
      </c>
      <c r="AX45" s="150">
        <f t="shared" ca="1" si="22"/>
        <v>868.26625031372828</v>
      </c>
      <c r="AY45" s="150">
        <f t="shared" ca="1" si="22"/>
        <v>888.17945448192108</v>
      </c>
      <c r="AZ45" s="150">
        <f t="shared" ca="1" si="22"/>
        <v>906.80701295901292</v>
      </c>
      <c r="BA45" s="148">
        <f t="shared" ca="1" si="22"/>
        <v>924.3049144933542</v>
      </c>
      <c r="BB45" s="148">
        <f t="shared" ca="1" si="22"/>
        <v>940.80237488591388</v>
      </c>
      <c r="BC45" s="148">
        <f t="shared" ca="1" si="22"/>
        <v>956.40763370117395</v>
      </c>
      <c r="BD45" s="45" t="str">
        <f t="shared" si="20"/>
        <v/>
      </c>
      <c r="BE45" s="45" t="str">
        <f t="shared" si="20"/>
        <v/>
      </c>
      <c r="BF45" s="45" t="str">
        <f t="shared" si="20"/>
        <v/>
      </c>
      <c r="BG45" s="45" t="str">
        <f t="shared" si="20"/>
        <v/>
      </c>
      <c r="BH45" s="45" t="str">
        <f t="shared" si="20"/>
        <v/>
      </c>
      <c r="BI45" s="45" t="str">
        <f t="shared" si="20"/>
        <v/>
      </c>
      <c r="BJ45" s="45">
        <f t="shared" ca="1" si="20"/>
        <v>25432.243061500249</v>
      </c>
      <c r="BK45" s="45">
        <f t="shared" ca="1" si="20"/>
        <v>5483.4143201238649</v>
      </c>
      <c r="BL45" s="45">
        <f t="shared" ca="1" si="20"/>
        <v>95122.433544221436</v>
      </c>
      <c r="BM45" s="45">
        <f t="shared" ca="1" si="20"/>
        <v>91625.508635802005</v>
      </c>
      <c r="BN45" s="45">
        <f t="shared" ca="1" si="20"/>
        <v>152531.88556554256</v>
      </c>
      <c r="BO45" s="45">
        <f t="shared" ca="1" si="20"/>
        <v>60255.409285420406</v>
      </c>
      <c r="BP45" s="45">
        <f t="shared" ca="1" si="20"/>
        <v>168299.91587271259</v>
      </c>
      <c r="BQ45" s="45">
        <f t="shared" ca="1" si="20"/>
        <v>303954.80618031026</v>
      </c>
      <c r="BR45" s="45">
        <f t="shared" ca="1" si="20"/>
        <v>82049.36471593703</v>
      </c>
      <c r="BS45" s="45">
        <f t="shared" ca="1" si="8"/>
        <v>21538.58115365756</v>
      </c>
      <c r="BT45" s="45">
        <f t="shared" ca="1" si="8"/>
        <v>162548.97265250669</v>
      </c>
      <c r="BU45" s="45">
        <f t="shared" ca="1" si="8"/>
        <v>75898.159004986912</v>
      </c>
      <c r="BV45" s="45">
        <f t="shared" ca="1" si="8"/>
        <v>139081.49125263613</v>
      </c>
      <c r="BW45" s="45">
        <f t="shared" ca="1" si="8"/>
        <v>224987.28904568299</v>
      </c>
      <c r="BX45" s="45">
        <f t="shared" ca="1" si="8"/>
        <v>419085.91585831094</v>
      </c>
      <c r="BY45" s="45">
        <f t="shared" ca="1" si="8"/>
        <v>36332.548380739303</v>
      </c>
      <c r="BZ45" s="92">
        <f t="shared" ca="1" si="4"/>
        <v>359.18553166592153</v>
      </c>
      <c r="CA45" s="47">
        <f t="shared" ca="1" si="5"/>
        <v>0.32730056520480033</v>
      </c>
      <c r="CB45" s="42" t="str">
        <f t="shared" si="17"/>
        <v/>
      </c>
      <c r="CC45" s="42" t="str">
        <f t="shared" si="18"/>
        <v/>
      </c>
      <c r="CD45" s="42" t="str">
        <f t="shared" si="18"/>
        <v/>
      </c>
      <c r="CE45" s="42" t="str">
        <f t="shared" si="18"/>
        <v/>
      </c>
      <c r="CF45" s="42" t="str">
        <f t="shared" si="18"/>
        <v/>
      </c>
      <c r="CG45" s="42" t="str">
        <f t="shared" si="18"/>
        <v/>
      </c>
      <c r="CH45" s="42">
        <f t="shared" si="18"/>
        <v>1</v>
      </c>
      <c r="CI45" s="42">
        <f t="shared" si="18"/>
        <v>2</v>
      </c>
      <c r="CJ45" s="42">
        <f t="shared" si="18"/>
        <v>3</v>
      </c>
      <c r="CK45" s="42">
        <f t="shared" si="18"/>
        <v>4</v>
      </c>
      <c r="CL45" s="42">
        <f t="shared" si="18"/>
        <v>5</v>
      </c>
      <c r="CM45" s="42">
        <f t="shared" si="18"/>
        <v>6</v>
      </c>
      <c r="CN45" s="42">
        <f t="shared" si="18"/>
        <v>7</v>
      </c>
      <c r="CO45" s="42">
        <f t="shared" si="18"/>
        <v>8</v>
      </c>
      <c r="CP45" s="42">
        <f t="shared" si="18"/>
        <v>9</v>
      </c>
      <c r="CQ45" s="42">
        <f t="shared" si="18"/>
        <v>10</v>
      </c>
      <c r="CR45" s="42">
        <f t="shared" si="18"/>
        <v>11</v>
      </c>
      <c r="CS45" s="42">
        <f t="shared" si="19"/>
        <v>12</v>
      </c>
      <c r="CT45" s="42">
        <f t="shared" si="19"/>
        <v>13</v>
      </c>
      <c r="CU45" s="42">
        <f t="shared" si="19"/>
        <v>14</v>
      </c>
      <c r="CV45" s="42">
        <f t="shared" si="19"/>
        <v>15</v>
      </c>
      <c r="CW45" s="42">
        <f t="shared" si="19"/>
        <v>16</v>
      </c>
      <c r="CX45" s="42">
        <f t="shared" si="19"/>
        <v>17</v>
      </c>
      <c r="CY45" s="42">
        <f t="shared" si="19"/>
        <v>18</v>
      </c>
      <c r="CZ45" s="42">
        <f t="shared" si="19"/>
        <v>19</v>
      </c>
      <c r="DA45" s="100"/>
      <c r="DB45" s="99"/>
      <c r="DC45" s="99"/>
      <c r="DD45" s="99"/>
      <c r="DE45" s="99"/>
      <c r="DF45" s="99"/>
      <c r="DG45" s="99"/>
      <c r="DH45" s="99"/>
      <c r="DI45" s="99"/>
      <c r="DJ45" s="99"/>
      <c r="DK45" s="99"/>
      <c r="DL45" s="99"/>
      <c r="DM45" s="99"/>
      <c r="DN45" s="99"/>
      <c r="DO45" s="99"/>
      <c r="DP45" s="99"/>
      <c r="DQ45" s="99"/>
      <c r="DR45" s="99"/>
      <c r="DS45" s="99"/>
      <c r="DT45" s="99"/>
      <c r="DU45" s="99"/>
      <c r="DV45" s="99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100"/>
      <c r="ET45" s="99"/>
      <c r="EU45" s="99"/>
      <c r="EV45" s="99"/>
      <c r="EW45" s="99"/>
      <c r="EX45" s="99"/>
      <c r="EY45" s="99"/>
      <c r="EZ45" s="99"/>
      <c r="FA45" s="99"/>
      <c r="FB45" s="99"/>
      <c r="FC45" s="99"/>
      <c r="FD45" s="99"/>
      <c r="FE45" s="99"/>
      <c r="FF45" s="99"/>
      <c r="FG45" s="99"/>
      <c r="FH45" s="99"/>
      <c r="FI45" s="99"/>
      <c r="FJ45" s="99"/>
      <c r="FK45" s="99"/>
      <c r="FL45" s="99"/>
      <c r="FM45" s="99"/>
      <c r="FN45" s="99"/>
      <c r="FO45" s="25" t="str">
        <f t="shared" si="6"/>
        <v>nonlinear model6</v>
      </c>
    </row>
    <row r="46" spans="1:171">
      <c r="A46" s="139" cm="1">
        <f t="array" aca="1" ref="A46:B46" ca="1">LINEST(INDIRECT(ADDRESS(ROW(H46),COLUMN(AD46)-CW46+1,1,1)):INDIRECT(ADDRESS(ROW(H46),COLUMN(AD46),1,1)),LN(INDIRECT(ADDRESS(ROW(H46),COLUMN(CW46)-CW46+1,1,1)):INDIRECT(ADDRESS(ROW(H46),COLUMN(CW46),1,1))))</f>
        <v>-14.388966944106491</v>
      </c>
      <c r="B46" s="141">
        <f ca="1"/>
        <v>187.83264664606128</v>
      </c>
      <c r="C46" s="141"/>
      <c r="D46" s="141"/>
      <c r="E46" s="141"/>
      <c r="F46" s="124"/>
      <c r="G46" s="39" t="s">
        <v>50</v>
      </c>
      <c r="H46" s="40">
        <v>7</v>
      </c>
      <c r="I46" s="41">
        <v>198</v>
      </c>
      <c r="J46" s="41">
        <v>186</v>
      </c>
      <c r="K46" s="41">
        <v>177.429</v>
      </c>
      <c r="L46" s="41">
        <v>157</v>
      </c>
      <c r="M46" s="41">
        <v>126.622</v>
      </c>
      <c r="N46" s="41">
        <v>177.429</v>
      </c>
      <c r="O46" s="41">
        <v>157</v>
      </c>
      <c r="P46" s="41">
        <v>126.622</v>
      </c>
      <c r="Q46" s="41">
        <v>177.429</v>
      </c>
      <c r="R46" s="41">
        <v>157</v>
      </c>
      <c r="S46" s="41">
        <v>126.622</v>
      </c>
      <c r="T46" s="41">
        <v>177.429</v>
      </c>
      <c r="U46" s="41">
        <v>157</v>
      </c>
      <c r="V46" s="41">
        <v>126.622</v>
      </c>
      <c r="W46" s="41">
        <v>128.38799999999998</v>
      </c>
      <c r="X46" s="41">
        <v>203.08599999999998</v>
      </c>
      <c r="Y46" s="41">
        <v>177.429</v>
      </c>
      <c r="Z46" s="41">
        <v>157</v>
      </c>
      <c r="AA46" s="41">
        <v>126.622</v>
      </c>
      <c r="AB46" s="41">
        <v>165</v>
      </c>
      <c r="AC46" s="41">
        <v>121.236</v>
      </c>
      <c r="AD46" s="41">
        <v>127.90299999999999</v>
      </c>
      <c r="AE46" s="150">
        <f t="shared" ca="1" si="21"/>
        <v>187.83264664606128</v>
      </c>
      <c r="AF46" s="150">
        <f t="shared" ca="1" si="21"/>
        <v>177.85897477758363</v>
      </c>
      <c r="AG46" s="150">
        <f t="shared" ca="1" si="21"/>
        <v>172.02475074002666</v>
      </c>
      <c r="AH46" s="150">
        <f t="shared" ca="1" si="21"/>
        <v>167.88530290910595</v>
      </c>
      <c r="AI46" s="150">
        <f t="shared" ca="1" si="21"/>
        <v>164.67449772545524</v>
      </c>
      <c r="AJ46" s="150">
        <f t="shared" ca="1" si="21"/>
        <v>162.05107887154901</v>
      </c>
      <c r="AK46" s="150">
        <f t="shared" ca="1" si="21"/>
        <v>159.83300983510304</v>
      </c>
      <c r="AL46" s="150">
        <f t="shared" ca="1" si="21"/>
        <v>157.91163104062829</v>
      </c>
      <c r="AM46" s="150">
        <f t="shared" ca="1" si="21"/>
        <v>156.21685483399204</v>
      </c>
      <c r="AN46" s="150">
        <f t="shared" ca="1" si="21"/>
        <v>154.70082585697759</v>
      </c>
      <c r="AO46" s="150">
        <f t="shared" ca="1" si="21"/>
        <v>153.32941083033631</v>
      </c>
      <c r="AP46" s="150">
        <f t="shared" ca="1" si="21"/>
        <v>152.07740700307133</v>
      </c>
      <c r="AQ46" s="150">
        <f t="shared" ca="1" si="21"/>
        <v>150.92567512824004</v>
      </c>
      <c r="AR46" s="150">
        <f t="shared" ca="1" si="21"/>
        <v>149.85933796662539</v>
      </c>
      <c r="AS46" s="150">
        <f t="shared" ca="1" si="21"/>
        <v>148.86660181942065</v>
      </c>
      <c r="AT46" s="150">
        <f t="shared" ca="1" si="21"/>
        <v>147.93795917215061</v>
      </c>
      <c r="AU46" s="150">
        <f t="shared" ca="1" si="22"/>
        <v>147.06563349283499</v>
      </c>
      <c r="AV46" s="150">
        <f t="shared" ca="1" si="22"/>
        <v>146.24318296551439</v>
      </c>
      <c r="AW46" s="150">
        <f t="shared" ca="1" si="22"/>
        <v>145.46521150589672</v>
      </c>
      <c r="AX46" s="150">
        <f t="shared" ca="1" si="22"/>
        <v>144.72715398849994</v>
      </c>
      <c r="AY46" s="150">
        <f t="shared" ca="1" si="22"/>
        <v>144.02511392906843</v>
      </c>
      <c r="AZ46" s="150">
        <f t="shared" ca="1" si="22"/>
        <v>143.35573896185863</v>
      </c>
      <c r="BA46" s="148">
        <f t="shared" ca="1" si="22"/>
        <v>142.71612401961966</v>
      </c>
      <c r="BB46" s="148">
        <f t="shared" ca="1" si="22"/>
        <v>142.10373513459368</v>
      </c>
      <c r="BC46" s="148">
        <f t="shared" ca="1" si="22"/>
        <v>141.51634880484923</v>
      </c>
      <c r="BD46" s="45">
        <f t="shared" ca="1" si="20"/>
        <v>103.37507422384898</v>
      </c>
      <c r="BE46" s="45">
        <f t="shared" ca="1" si="20"/>
        <v>66.276291672019568</v>
      </c>
      <c r="BF46" s="45">
        <f t="shared" ca="1" si="20"/>
        <v>29.205910063922399</v>
      </c>
      <c r="BG46" s="45">
        <f t="shared" ca="1" si="20"/>
        <v>118.48981942299037</v>
      </c>
      <c r="BH46" s="45">
        <f t="shared" ca="1" si="20"/>
        <v>1447.9925831457763</v>
      </c>
      <c r="BI46" s="45">
        <f t="shared" ca="1" si="20"/>
        <v>236.48045823285946</v>
      </c>
      <c r="BJ46" s="45">
        <f t="shared" ca="1" si="20"/>
        <v>8.0259447257905627</v>
      </c>
      <c r="BK46" s="45">
        <f t="shared" ca="1" si="20"/>
        <v>979.04101065864961</v>
      </c>
      <c r="BL46" s="45">
        <f t="shared" ca="1" si="20"/>
        <v>449.95510254379474</v>
      </c>
      <c r="BM46" s="45">
        <f t="shared" ca="1" si="20"/>
        <v>5.2862017399428449</v>
      </c>
      <c r="BN46" s="45">
        <f t="shared" ca="1" si="20"/>
        <v>713.28579326036549</v>
      </c>
      <c r="BO46" s="45">
        <f t="shared" ca="1" si="20"/>
        <v>642.70326748192292</v>
      </c>
      <c r="BP46" s="45">
        <f t="shared" ca="1" si="20"/>
        <v>36.897422647681601</v>
      </c>
      <c r="BQ46" s="45">
        <f t="shared" ca="1" si="20"/>
        <v>539.97387577516974</v>
      </c>
      <c r="BR46" s="45">
        <f t="shared" ca="1" si="20"/>
        <v>419.37313247837977</v>
      </c>
      <c r="BS46" s="45">
        <f t="shared" ca="1" si="8"/>
        <v>3041.3064071501412</v>
      </c>
      <c r="BT46" s="45">
        <f t="shared" ca="1" si="8"/>
        <v>921.93402564842995</v>
      </c>
      <c r="BU46" s="45">
        <f t="shared" ca="1" si="8"/>
        <v>115.70911271339973</v>
      </c>
      <c r="BV46" s="45">
        <f t="shared" ca="1" si="8"/>
        <v>355.06661985595849</v>
      </c>
      <c r="BW46" s="45">
        <f t="shared" ca="1" si="8"/>
        <v>410.98828540599408</v>
      </c>
      <c r="BX46" s="45">
        <f t="shared" ca="1" si="8"/>
        <v>519.34371367206029</v>
      </c>
      <c r="BY46" s="45">
        <f t="shared" ca="1" si="8"/>
        <v>238.78714142334411</v>
      </c>
      <c r="BZ46" s="92">
        <f t="shared" ca="1" si="4"/>
        <v>22.763105310150902</v>
      </c>
      <c r="CA46" s="47">
        <f t="shared" ca="1" si="5"/>
        <v>0.177971629360929</v>
      </c>
      <c r="CB46" s="42">
        <f t="shared" si="17"/>
        <v>1</v>
      </c>
      <c r="CC46" s="42">
        <f t="shared" si="18"/>
        <v>2</v>
      </c>
      <c r="CD46" s="42">
        <f t="shared" si="18"/>
        <v>3</v>
      </c>
      <c r="CE46" s="42">
        <f t="shared" si="18"/>
        <v>4</v>
      </c>
      <c r="CF46" s="42">
        <f t="shared" si="18"/>
        <v>5</v>
      </c>
      <c r="CG46" s="42">
        <f t="shared" si="18"/>
        <v>6</v>
      </c>
      <c r="CH46" s="42">
        <f t="shared" si="18"/>
        <v>7</v>
      </c>
      <c r="CI46" s="42">
        <f t="shared" si="18"/>
        <v>8</v>
      </c>
      <c r="CJ46" s="42">
        <f t="shared" si="18"/>
        <v>9</v>
      </c>
      <c r="CK46" s="42">
        <f t="shared" si="18"/>
        <v>10</v>
      </c>
      <c r="CL46" s="42">
        <f t="shared" si="18"/>
        <v>11</v>
      </c>
      <c r="CM46" s="42">
        <f t="shared" si="18"/>
        <v>12</v>
      </c>
      <c r="CN46" s="42">
        <f t="shared" si="18"/>
        <v>13</v>
      </c>
      <c r="CO46" s="42">
        <f t="shared" si="18"/>
        <v>14</v>
      </c>
      <c r="CP46" s="42">
        <f t="shared" si="18"/>
        <v>15</v>
      </c>
      <c r="CQ46" s="42">
        <f t="shared" si="18"/>
        <v>16</v>
      </c>
      <c r="CR46" s="42">
        <f t="shared" ref="CR46:CY77" si="23">IF(CQ46&lt;&gt;"",CQ46+1,IF(Y46=0,"",1))</f>
        <v>17</v>
      </c>
      <c r="CS46" s="42">
        <f t="shared" si="19"/>
        <v>18</v>
      </c>
      <c r="CT46" s="42">
        <f t="shared" si="19"/>
        <v>19</v>
      </c>
      <c r="CU46" s="42">
        <f t="shared" si="19"/>
        <v>20</v>
      </c>
      <c r="CV46" s="42">
        <f t="shared" si="19"/>
        <v>21</v>
      </c>
      <c r="CW46" s="42">
        <f t="shared" si="19"/>
        <v>22</v>
      </c>
      <c r="CX46" s="42">
        <f t="shared" si="19"/>
        <v>23</v>
      </c>
      <c r="CY46" s="42">
        <f t="shared" si="19"/>
        <v>24</v>
      </c>
      <c r="CZ46" s="42">
        <f t="shared" si="19"/>
        <v>25</v>
      </c>
      <c r="DA46" s="100"/>
      <c r="DB46" s="99"/>
      <c r="DC46" s="99"/>
      <c r="DD46" s="99"/>
      <c r="DE46" s="99"/>
      <c r="DF46" s="99"/>
      <c r="DG46" s="99"/>
      <c r="DH46" s="99"/>
      <c r="DI46" s="99"/>
      <c r="DJ46" s="99"/>
      <c r="DK46" s="99"/>
      <c r="DL46" s="99"/>
      <c r="DM46" s="99"/>
      <c r="DN46" s="99"/>
      <c r="DO46" s="99"/>
      <c r="DP46" s="99"/>
      <c r="DQ46" s="99"/>
      <c r="DR46" s="99"/>
      <c r="DS46" s="99"/>
      <c r="DT46" s="99"/>
      <c r="DU46" s="99"/>
      <c r="DV46" s="99"/>
      <c r="DW46" s="41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1"/>
      <c r="ES46" s="100"/>
      <c r="ET46" s="99"/>
      <c r="EU46" s="99"/>
      <c r="EV46" s="99"/>
      <c r="EW46" s="99"/>
      <c r="EX46" s="99"/>
      <c r="EY46" s="99"/>
      <c r="EZ46" s="99"/>
      <c r="FA46" s="99"/>
      <c r="FB46" s="99"/>
      <c r="FC46" s="99"/>
      <c r="FD46" s="99"/>
      <c r="FE46" s="99"/>
      <c r="FF46" s="99"/>
      <c r="FG46" s="99"/>
      <c r="FH46" s="99"/>
      <c r="FI46" s="99"/>
      <c r="FJ46" s="99"/>
      <c r="FK46" s="99"/>
      <c r="FL46" s="99"/>
      <c r="FM46" s="99"/>
      <c r="FN46" s="99"/>
      <c r="FO46" s="25" t="str">
        <f t="shared" si="6"/>
        <v>nonlinear model7</v>
      </c>
    </row>
    <row r="47" spans="1:171">
      <c r="A47" s="139" cm="1">
        <f t="array" aca="1" ref="A47:B47" ca="1">LINEST(INDIRECT(ADDRESS(ROW(H47),COLUMN(AD47)-CW47+1,1,1)):INDIRECT(ADDRESS(ROW(H47),COLUMN(AD47),1,1)),LN(INDIRECT(ADDRESS(ROW(H47),COLUMN(CW47)-CW47+1,1,1)):INDIRECT(ADDRESS(ROW(H47),COLUMN(CW47),1,1))))</f>
        <v>94.597496034386225</v>
      </c>
      <c r="B47" s="141">
        <f ca="1"/>
        <v>-56.941069426477242</v>
      </c>
      <c r="C47" s="141"/>
      <c r="D47" s="141"/>
      <c r="E47" s="141"/>
      <c r="F47" s="131"/>
      <c r="G47" s="39" t="s">
        <v>50</v>
      </c>
      <c r="H47" s="40">
        <v>8</v>
      </c>
      <c r="I47" s="41">
        <v>6.597999999999999</v>
      </c>
      <c r="J47" s="41">
        <v>14.509</v>
      </c>
      <c r="K47" s="41">
        <v>34</v>
      </c>
      <c r="L47" s="41">
        <v>36.616999999999976</v>
      </c>
      <c r="M47" s="41">
        <v>48.298000000000044</v>
      </c>
      <c r="N47" s="41">
        <v>50.913000000000054</v>
      </c>
      <c r="O47" s="41">
        <v>169.95999999999992</v>
      </c>
      <c r="P47" s="41">
        <v>158.32199999999997</v>
      </c>
      <c r="Q47" s="41">
        <v>169.77099999999999</v>
      </c>
      <c r="R47" s="41">
        <v>180</v>
      </c>
      <c r="S47" s="41">
        <v>127</v>
      </c>
      <c r="T47" s="41">
        <v>143.11099999999993</v>
      </c>
      <c r="U47" s="41">
        <v>167</v>
      </c>
      <c r="V47" s="41">
        <v>150</v>
      </c>
      <c r="W47" s="41">
        <v>199.79</v>
      </c>
      <c r="X47" s="41">
        <v>203.78579999999999</v>
      </c>
      <c r="Y47" s="41">
        <v>216.01294799999999</v>
      </c>
      <c r="Z47" s="41">
        <v>233.29398384000001</v>
      </c>
      <c r="AA47" s="41">
        <v>235.6269236784</v>
      </c>
      <c r="AB47" s="41">
        <v>245.05200062553601</v>
      </c>
      <c r="AC47" s="41">
        <v>259.75512066306817</v>
      </c>
      <c r="AD47" s="41">
        <v>283.13308152274431</v>
      </c>
      <c r="AE47" s="150">
        <f t="shared" ca="1" si="21"/>
        <v>-56.941069426477242</v>
      </c>
      <c r="AF47" s="150">
        <f t="shared" ca="1" si="21"/>
        <v>8.6289182377881701</v>
      </c>
      <c r="AG47" s="150">
        <f t="shared" ca="1" si="21"/>
        <v>46.984902194132246</v>
      </c>
      <c r="AH47" s="150">
        <f t="shared" ca="1" si="21"/>
        <v>74.198905902053582</v>
      </c>
      <c r="AI47" s="150">
        <f t="shared" ca="1" si="21"/>
        <v>95.3077271125984</v>
      </c>
      <c r="AJ47" s="150">
        <f t="shared" ca="1" si="21"/>
        <v>112.55488985839764</v>
      </c>
      <c r="AK47" s="150">
        <f t="shared" ca="1" si="21"/>
        <v>127.13715818205466</v>
      </c>
      <c r="AL47" s="150">
        <f t="shared" ca="1" si="21"/>
        <v>139.76889356631901</v>
      </c>
      <c r="AM47" s="150">
        <f t="shared" ca="1" si="21"/>
        <v>150.91087381474173</v>
      </c>
      <c r="AN47" s="150">
        <f t="shared" ca="1" si="21"/>
        <v>160.87771477686385</v>
      </c>
      <c r="AO47" s="150">
        <f t="shared" ca="1" si="21"/>
        <v>169.89381913294011</v>
      </c>
      <c r="AP47" s="150">
        <f t="shared" ca="1" si="21"/>
        <v>178.12487752266307</v>
      </c>
      <c r="AQ47" s="150">
        <f t="shared" ca="1" si="21"/>
        <v>185.69671724439198</v>
      </c>
      <c r="AR47" s="150">
        <f t="shared" ca="1" si="21"/>
        <v>192.70714584632006</v>
      </c>
      <c r="AS47" s="150">
        <f t="shared" ca="1" si="21"/>
        <v>199.23369873320789</v>
      </c>
      <c r="AT47" s="150">
        <f t="shared" ca="1" si="21"/>
        <v>205.33888123058441</v>
      </c>
      <c r="AU47" s="150">
        <f t="shared" ca="1" si="22"/>
        <v>211.0738186524508</v>
      </c>
      <c r="AV47" s="150">
        <f t="shared" ca="1" si="22"/>
        <v>216.48086147900713</v>
      </c>
      <c r="AW47" s="150">
        <f t="shared" ca="1" si="22"/>
        <v>221.59548522871231</v>
      </c>
      <c r="AX47" s="150">
        <f t="shared" ca="1" si="22"/>
        <v>226.44770244112922</v>
      </c>
      <c r="AY47" s="150">
        <f t="shared" ca="1" si="22"/>
        <v>231.06312980266412</v>
      </c>
      <c r="AZ47" s="150">
        <f t="shared" ca="1" si="22"/>
        <v>235.46380679720554</v>
      </c>
      <c r="BA47" s="148">
        <f t="shared" ca="1" si="22"/>
        <v>239.66883223072145</v>
      </c>
      <c r="BB47" s="148">
        <f t="shared" ca="1" si="22"/>
        <v>243.69486518692852</v>
      </c>
      <c r="BC47" s="148">
        <f t="shared" ca="1" si="22"/>
        <v>247.55652365167404</v>
      </c>
      <c r="BD47" s="45">
        <f t="shared" ca="1" si="20"/>
        <v>4037.213343582695</v>
      </c>
      <c r="BE47" s="45">
        <f t="shared" ca="1" si="20"/>
        <v>34.575361530296185</v>
      </c>
      <c r="BF47" s="45">
        <f t="shared" ca="1" si="20"/>
        <v>168.60768499118043</v>
      </c>
      <c r="BG47" s="45">
        <f t="shared" ca="1" si="20"/>
        <v>1412.3996512308117</v>
      </c>
      <c r="BH47" s="45">
        <f t="shared" ca="1" si="20"/>
        <v>2209.9144432009648</v>
      </c>
      <c r="BI47" s="45">
        <f t="shared" ca="1" si="20"/>
        <v>3799.7225853148198</v>
      </c>
      <c r="BJ47" s="45">
        <f t="shared" ca="1" si="20"/>
        <v>1833.7957813647613</v>
      </c>
      <c r="BK47" s="45">
        <f t="shared" ca="1" si="20"/>
        <v>344.21775833949408</v>
      </c>
      <c r="BL47" s="45">
        <f t="shared" ca="1" si="20"/>
        <v>355.704359723864</v>
      </c>
      <c r="BM47" s="45">
        <f t="shared" ca="1" si="20"/>
        <v>365.66179215497101</v>
      </c>
      <c r="BN47" s="45">
        <f t="shared" ca="1" si="20"/>
        <v>1839.8797198093789</v>
      </c>
      <c r="BO47" s="45">
        <f t="shared" ca="1" si="20"/>
        <v>1225.9716191720549</v>
      </c>
      <c r="BP47" s="45">
        <f t="shared" ca="1" si="20"/>
        <v>349.56723571674428</v>
      </c>
      <c r="BQ47" s="45">
        <f t="shared" ca="1" si="20"/>
        <v>1823.9003063388527</v>
      </c>
      <c r="BR47" s="45">
        <f t="shared" ca="1" si="20"/>
        <v>0.30947109943450007</v>
      </c>
      <c r="BS47" s="45">
        <f t="shared" ca="1" si="8"/>
        <v>2.412061308793588</v>
      </c>
      <c r="BT47" s="45">
        <f t="shared" ca="1" si="8"/>
        <v>24.394998711821763</v>
      </c>
      <c r="BU47" s="45">
        <f t="shared" ca="1" si="8"/>
        <v>282.68108352571875</v>
      </c>
      <c r="BV47" s="45">
        <f t="shared" ca="1" si="8"/>
        <v>196.88126496737431</v>
      </c>
      <c r="BW47" s="45">
        <f t="shared" ca="1" si="8"/>
        <v>346.11991093432164</v>
      </c>
      <c r="BX47" s="45">
        <f t="shared" ca="1" si="8"/>
        <v>823.23033953350932</v>
      </c>
      <c r="BY47" s="45">
        <f t="shared" ca="1" si="8"/>
        <v>2272.3597528588894</v>
      </c>
      <c r="BZ47" s="92">
        <f t="shared" ca="1" si="4"/>
        <v>32.85610537245617</v>
      </c>
      <c r="CA47" s="47">
        <f t="shared" ca="1" si="5"/>
        <v>0.11604474191341295</v>
      </c>
      <c r="CB47" s="42">
        <f t="shared" si="17"/>
        <v>1</v>
      </c>
      <c r="CC47" s="42">
        <f t="shared" ref="CC47:CQ63" si="24">IF(CB47&lt;&gt;"",CB47+1,IF(J47=0,"",1))</f>
        <v>2</v>
      </c>
      <c r="CD47" s="42">
        <f t="shared" si="24"/>
        <v>3</v>
      </c>
      <c r="CE47" s="42">
        <f t="shared" si="24"/>
        <v>4</v>
      </c>
      <c r="CF47" s="42">
        <f t="shared" si="24"/>
        <v>5</v>
      </c>
      <c r="CG47" s="42">
        <f t="shared" si="24"/>
        <v>6</v>
      </c>
      <c r="CH47" s="42">
        <f t="shared" si="24"/>
        <v>7</v>
      </c>
      <c r="CI47" s="42">
        <f t="shared" si="24"/>
        <v>8</v>
      </c>
      <c r="CJ47" s="42">
        <f t="shared" si="24"/>
        <v>9</v>
      </c>
      <c r="CK47" s="42">
        <f t="shared" si="24"/>
        <v>10</v>
      </c>
      <c r="CL47" s="42">
        <f t="shared" si="24"/>
        <v>11</v>
      </c>
      <c r="CM47" s="42">
        <f t="shared" si="24"/>
        <v>12</v>
      </c>
      <c r="CN47" s="42">
        <f t="shared" si="24"/>
        <v>13</v>
      </c>
      <c r="CO47" s="42">
        <f t="shared" si="24"/>
        <v>14</v>
      </c>
      <c r="CP47" s="42">
        <f t="shared" si="24"/>
        <v>15</v>
      </c>
      <c r="CQ47" s="42">
        <f t="shared" si="24"/>
        <v>16</v>
      </c>
      <c r="CR47" s="42">
        <f t="shared" si="23"/>
        <v>17</v>
      </c>
      <c r="CS47" s="42">
        <f t="shared" si="19"/>
        <v>18</v>
      </c>
      <c r="CT47" s="42">
        <f t="shared" si="19"/>
        <v>19</v>
      </c>
      <c r="CU47" s="42">
        <f t="shared" si="19"/>
        <v>20</v>
      </c>
      <c r="CV47" s="42">
        <f t="shared" si="19"/>
        <v>21</v>
      </c>
      <c r="CW47" s="42">
        <f t="shared" si="19"/>
        <v>22</v>
      </c>
      <c r="CX47" s="42">
        <f t="shared" si="19"/>
        <v>23</v>
      </c>
      <c r="CY47" s="42">
        <f t="shared" si="19"/>
        <v>24</v>
      </c>
      <c r="CZ47" s="42">
        <f t="shared" si="19"/>
        <v>25</v>
      </c>
      <c r="DA47" s="100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99"/>
      <c r="DQ47" s="99"/>
      <c r="DR47" s="99"/>
      <c r="DS47" s="99"/>
      <c r="DT47" s="99"/>
      <c r="DU47" s="99"/>
      <c r="DV47" s="99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100"/>
      <c r="ET47" s="99"/>
      <c r="EU47" s="99"/>
      <c r="EV47" s="99"/>
      <c r="EW47" s="99"/>
      <c r="EX47" s="99"/>
      <c r="EY47" s="99"/>
      <c r="EZ47" s="99"/>
      <c r="FA47" s="99"/>
      <c r="FB47" s="99"/>
      <c r="FC47" s="99"/>
      <c r="FD47" s="99"/>
      <c r="FE47" s="99"/>
      <c r="FF47" s="99"/>
      <c r="FG47" s="99"/>
      <c r="FH47" s="99"/>
      <c r="FI47" s="99"/>
      <c r="FJ47" s="99"/>
      <c r="FK47" s="99"/>
      <c r="FL47" s="99"/>
      <c r="FM47" s="99"/>
      <c r="FN47" s="99"/>
      <c r="FO47" s="25" t="str">
        <f t="shared" si="6"/>
        <v>nonlinear model8</v>
      </c>
    </row>
    <row r="48" spans="1:171" ht="13.5" thickBot="1">
      <c r="A48" s="142" cm="1">
        <f t="array" aca="1" ref="A48:B48" ca="1">LINEST(INDIRECT(ADDRESS(ROW(H48),COLUMN(AD48)-CW48+1,1,1)):INDIRECT(ADDRESS(ROW(H48),COLUMN(AD48),1,1)),LN(INDIRECT(ADDRESS(ROW(H48),COLUMN(CW48)-CW48+1,1,1)):INDIRECT(ADDRESS(ROW(H48),COLUMN(CW48),1,1))))</f>
        <v>665.41027807512455</v>
      </c>
      <c r="B48" s="133">
        <f ca="1"/>
        <v>122.90969149786247</v>
      </c>
      <c r="C48" s="133"/>
      <c r="D48" s="133"/>
      <c r="E48" s="133"/>
      <c r="F48" s="135"/>
      <c r="G48" s="112" t="s">
        <v>50</v>
      </c>
      <c r="H48" s="96">
        <v>9</v>
      </c>
      <c r="I48" s="95">
        <v>798</v>
      </c>
      <c r="J48" s="95">
        <v>823</v>
      </c>
      <c r="K48" s="95">
        <v>839</v>
      </c>
      <c r="L48" s="41">
        <v>889.34</v>
      </c>
      <c r="M48" s="41">
        <v>969.38060000000007</v>
      </c>
      <c r="N48" s="41">
        <v>1017.8496300000002</v>
      </c>
      <c r="O48" s="41">
        <v>1109.4560967000002</v>
      </c>
      <c r="P48" s="41">
        <v>1176.0234625020003</v>
      </c>
      <c r="Q48" s="41">
        <v>1223.0644010020803</v>
      </c>
      <c r="R48" s="41">
        <v>1345.3708411022885</v>
      </c>
      <c r="S48" s="41">
        <v>1426.093091568426</v>
      </c>
      <c r="T48" s="41">
        <v>1483.1368152311632</v>
      </c>
      <c r="U48" s="41">
        <v>1631.4504967542796</v>
      </c>
      <c r="V48" s="41">
        <v>1761.966536494622</v>
      </c>
      <c r="W48" s="41">
        <v>1902.9238594141918</v>
      </c>
      <c r="X48" s="41">
        <v>1940.9823366024757</v>
      </c>
      <c r="Y48" s="41">
        <v>2115.6707468966988</v>
      </c>
      <c r="Z48" s="41">
        <v>2200.297576772567</v>
      </c>
      <c r="AA48" s="41">
        <v>2420.3273344498239</v>
      </c>
      <c r="AB48" s="41">
        <v>2468.7338811388204</v>
      </c>
      <c r="AC48" s="41">
        <v>2641.5452528185378</v>
      </c>
      <c r="AD48" s="41">
        <v>2773.6225154594649</v>
      </c>
      <c r="AE48" s="150">
        <f t="shared" ca="1" si="21"/>
        <v>122.90969149786247</v>
      </c>
      <c r="AF48" s="150">
        <f t="shared" ca="1" si="21"/>
        <v>584.13694966124422</v>
      </c>
      <c r="AG48" s="150">
        <f t="shared" ca="1" si="21"/>
        <v>853.93759999725842</v>
      </c>
      <c r="AH48" s="150">
        <f t="shared" ca="1" si="21"/>
        <v>1045.364207824626</v>
      </c>
      <c r="AI48" s="150">
        <f t="shared" ca="1" si="21"/>
        <v>1193.8462203552851</v>
      </c>
      <c r="AJ48" s="150">
        <f t="shared" ca="1" si="21"/>
        <v>1315.1648581606401</v>
      </c>
      <c r="AK48" s="150">
        <f t="shared" ca="1" si="21"/>
        <v>1417.7383048899655</v>
      </c>
      <c r="AL48" s="150">
        <f t="shared" ca="1" si="21"/>
        <v>1506.5914659880077</v>
      </c>
      <c r="AM48" s="150">
        <f t="shared" ca="1" si="21"/>
        <v>1584.9655084966544</v>
      </c>
      <c r="AN48" s="150">
        <f t="shared" ca="1" si="21"/>
        <v>1655.0734785186671</v>
      </c>
      <c r="AO48" s="150">
        <f t="shared" ca="1" si="21"/>
        <v>1718.4938517656528</v>
      </c>
      <c r="AP48" s="150">
        <f t="shared" ca="1" si="21"/>
        <v>1776.392116324022</v>
      </c>
      <c r="AQ48" s="150">
        <f t="shared" ca="1" si="21"/>
        <v>1829.6533566949556</v>
      </c>
      <c r="AR48" s="150">
        <f t="shared" ca="1" si="21"/>
        <v>1878.9655630533473</v>
      </c>
      <c r="AS48" s="150">
        <f t="shared" ca="1" si="21"/>
        <v>1924.874128854681</v>
      </c>
      <c r="AT48" s="150">
        <f t="shared" ca="1" si="21"/>
        <v>1967.8187241513895</v>
      </c>
      <c r="AU48" s="150">
        <f t="shared" ca="1" si="22"/>
        <v>2008.1589706124628</v>
      </c>
      <c r="AV48" s="150">
        <f t="shared" ca="1" si="22"/>
        <v>2046.1927666600359</v>
      </c>
      <c r="AW48" s="150">
        <f t="shared" ca="1" si="22"/>
        <v>2082.1696514002397</v>
      </c>
      <c r="AX48" s="150">
        <f t="shared" ca="1" si="22"/>
        <v>2116.3007366820484</v>
      </c>
      <c r="AY48" s="150">
        <f t="shared" ca="1" si="22"/>
        <v>2148.7662133893614</v>
      </c>
      <c r="AZ48" s="150">
        <f t="shared" ca="1" si="22"/>
        <v>2179.7211099290344</v>
      </c>
      <c r="BA48" s="148">
        <f t="shared" ca="1" si="22"/>
        <v>2209.2997696222228</v>
      </c>
      <c r="BB48" s="148">
        <f t="shared" ca="1" si="22"/>
        <v>2237.6193744874035</v>
      </c>
      <c r="BC48" s="148">
        <f t="shared" ca="1" si="22"/>
        <v>2264.782749212708</v>
      </c>
      <c r="BD48" s="45">
        <f t="shared" ca="1" si="20"/>
        <v>455746.92463351123</v>
      </c>
      <c r="BE48" s="45">
        <f t="shared" ca="1" si="20"/>
        <v>57055.556817134981</v>
      </c>
      <c r="BF48" s="45">
        <f t="shared" ca="1" si="20"/>
        <v>223.13189367809466</v>
      </c>
      <c r="BG48" s="45">
        <f t="shared" ca="1" si="20"/>
        <v>24343.553427302064</v>
      </c>
      <c r="BH48" s="45">
        <f t="shared" ca="1" si="20"/>
        <v>50384.814721482966</v>
      </c>
      <c r="BI48" s="45">
        <f t="shared" ca="1" si="20"/>
        <v>88396.344896213355</v>
      </c>
      <c r="BJ48" s="45">
        <f t="shared" ca="1" si="20"/>
        <v>95037.919886481133</v>
      </c>
      <c r="BK48" s="45">
        <f t="shared" ca="1" si="20"/>
        <v>109275.20492872504</v>
      </c>
      <c r="BL48" s="45">
        <f t="shared" ca="1" si="20"/>
        <v>130972.41160579924</v>
      </c>
      <c r="BM48" s="45">
        <f t="shared" ca="1" si="20"/>
        <v>95915.723622660866</v>
      </c>
      <c r="BN48" s="45">
        <f t="shared" ca="1" si="20"/>
        <v>85498.204563916181</v>
      </c>
      <c r="BO48" s="45">
        <f t="shared" ca="1" si="20"/>
        <v>85998.671619063316</v>
      </c>
      <c r="BP48" s="45">
        <f t="shared" ca="1" si="20"/>
        <v>39284.37368866324</v>
      </c>
      <c r="BQ48" s="45">
        <f t="shared" ca="1" si="20"/>
        <v>13688.772215689305</v>
      </c>
      <c r="BR48" s="45">
        <f t="shared" ca="1" si="20"/>
        <v>481.81432851007128</v>
      </c>
      <c r="BS48" s="45">
        <f t="shared" ca="1" si="8"/>
        <v>720.19169667549363</v>
      </c>
      <c r="BT48" s="45">
        <f t="shared" ca="1" si="8"/>
        <v>11558.782039791615</v>
      </c>
      <c r="BU48" s="45">
        <f t="shared" ca="1" si="8"/>
        <v>23748.292499819279</v>
      </c>
      <c r="BV48" s="45">
        <f t="shared" ca="1" si="8"/>
        <v>114350.61860546304</v>
      </c>
      <c r="BW48" s="45">
        <f t="shared" ca="1" si="8"/>
        <v>124209.12131168789</v>
      </c>
      <c r="BX48" s="45">
        <f t="shared" ca="1" si="8"/>
        <v>242831.18170074184</v>
      </c>
      <c r="BY48" s="45">
        <f t="shared" ca="1" si="8"/>
        <v>352718.87949102093</v>
      </c>
      <c r="BZ48" s="92">
        <f t="shared" ca="1" si="4"/>
        <v>316.40311530143941</v>
      </c>
      <c r="CA48" s="47">
        <f t="shared" ca="1" si="5"/>
        <v>0.11407576681321596</v>
      </c>
      <c r="CB48" s="42">
        <f t="shared" si="17"/>
        <v>1</v>
      </c>
      <c r="CC48" s="42">
        <f t="shared" si="24"/>
        <v>2</v>
      </c>
      <c r="CD48" s="42">
        <f t="shared" si="24"/>
        <v>3</v>
      </c>
      <c r="CE48" s="42">
        <f t="shared" si="24"/>
        <v>4</v>
      </c>
      <c r="CF48" s="42">
        <f t="shared" si="24"/>
        <v>5</v>
      </c>
      <c r="CG48" s="42">
        <f t="shared" si="24"/>
        <v>6</v>
      </c>
      <c r="CH48" s="42">
        <f t="shared" si="24"/>
        <v>7</v>
      </c>
      <c r="CI48" s="42">
        <f t="shared" si="24"/>
        <v>8</v>
      </c>
      <c r="CJ48" s="42">
        <f t="shared" si="24"/>
        <v>9</v>
      </c>
      <c r="CK48" s="42">
        <f t="shared" si="24"/>
        <v>10</v>
      </c>
      <c r="CL48" s="42">
        <f t="shared" si="24"/>
        <v>11</v>
      </c>
      <c r="CM48" s="42">
        <f t="shared" si="24"/>
        <v>12</v>
      </c>
      <c r="CN48" s="42">
        <f t="shared" si="24"/>
        <v>13</v>
      </c>
      <c r="CO48" s="42">
        <f t="shared" si="24"/>
        <v>14</v>
      </c>
      <c r="CP48" s="42">
        <f t="shared" si="24"/>
        <v>15</v>
      </c>
      <c r="CQ48" s="42">
        <f t="shared" si="24"/>
        <v>16</v>
      </c>
      <c r="CR48" s="42">
        <f t="shared" si="23"/>
        <v>17</v>
      </c>
      <c r="CS48" s="42">
        <f t="shared" si="19"/>
        <v>18</v>
      </c>
      <c r="CT48" s="42">
        <f t="shared" si="19"/>
        <v>19</v>
      </c>
      <c r="CU48" s="42">
        <f t="shared" si="19"/>
        <v>20</v>
      </c>
      <c r="CV48" s="42">
        <f t="shared" si="19"/>
        <v>21</v>
      </c>
      <c r="CW48" s="42">
        <f t="shared" si="19"/>
        <v>22</v>
      </c>
      <c r="CX48" s="42">
        <f t="shared" si="19"/>
        <v>23</v>
      </c>
      <c r="CY48" s="42">
        <f t="shared" si="19"/>
        <v>24</v>
      </c>
      <c r="CZ48" s="42">
        <f t="shared" si="19"/>
        <v>25</v>
      </c>
      <c r="DA48" s="101"/>
      <c r="DB48" s="101"/>
      <c r="DC48" s="101"/>
      <c r="DD48" s="101"/>
      <c r="DE48" s="101"/>
      <c r="DF48" s="101"/>
      <c r="DG48" s="101"/>
      <c r="DH48" s="101"/>
      <c r="DI48" s="101"/>
      <c r="DJ48" s="101"/>
      <c r="DK48" s="101"/>
      <c r="DL48" s="101"/>
      <c r="DM48" s="101"/>
      <c r="DN48" s="101"/>
      <c r="DO48" s="101"/>
      <c r="DP48" s="101"/>
      <c r="DQ48" s="101"/>
      <c r="DR48" s="101"/>
      <c r="DS48" s="101"/>
      <c r="DT48" s="101"/>
      <c r="DU48" s="101"/>
      <c r="DV48" s="101"/>
      <c r="DW48" s="94"/>
      <c r="DX48" s="94"/>
      <c r="DY48" s="94"/>
      <c r="DZ48" s="94"/>
      <c r="EA48" s="94"/>
      <c r="EB48" s="94"/>
      <c r="EC48" s="94"/>
      <c r="ED48" s="94"/>
      <c r="EE48" s="94"/>
      <c r="EF48" s="94"/>
      <c r="EG48" s="94"/>
      <c r="EH48" s="94"/>
      <c r="EI48" s="94"/>
      <c r="EJ48" s="94"/>
      <c r="EK48" s="94"/>
      <c r="EL48" s="94"/>
      <c r="EM48" s="94"/>
      <c r="EN48" s="94"/>
      <c r="EO48" s="94"/>
      <c r="EP48" s="94"/>
      <c r="EQ48" s="94"/>
      <c r="ER48" s="94"/>
      <c r="ES48" s="101"/>
      <c r="ET48" s="101"/>
      <c r="EU48" s="101"/>
      <c r="EV48" s="101"/>
      <c r="EW48" s="101"/>
      <c r="EX48" s="101"/>
      <c r="EY48" s="101"/>
      <c r="EZ48" s="101"/>
      <c r="FA48" s="101"/>
      <c r="FB48" s="101"/>
      <c r="FC48" s="101"/>
      <c r="FD48" s="101"/>
      <c r="FE48" s="101"/>
      <c r="FF48" s="101"/>
      <c r="FG48" s="101"/>
      <c r="FH48" s="101"/>
      <c r="FI48" s="101"/>
      <c r="FJ48" s="101"/>
      <c r="FK48" s="101"/>
      <c r="FL48" s="101"/>
      <c r="FM48" s="101"/>
      <c r="FN48" s="101"/>
      <c r="FO48" s="25" t="str">
        <f t="shared" si="6"/>
        <v>nonlinear model9</v>
      </c>
    </row>
    <row r="49" spans="1:171">
      <c r="A49" s="144">
        <v>0.7680155717720144</v>
      </c>
      <c r="B49" s="138"/>
      <c r="C49" s="138"/>
      <c r="D49" s="138"/>
      <c r="E49" s="138"/>
      <c r="F49" s="121"/>
      <c r="G49" s="39" t="s">
        <v>44</v>
      </c>
      <c r="H49" s="40">
        <v>1</v>
      </c>
      <c r="I49" s="41">
        <v>32802.146000000001</v>
      </c>
      <c r="J49" s="41">
        <v>33904.127</v>
      </c>
      <c r="K49" s="41">
        <v>32833.296999999999</v>
      </c>
      <c r="L49" s="41">
        <v>29818.438999999988</v>
      </c>
      <c r="M49" s="41">
        <v>33431.994999999974</v>
      </c>
      <c r="N49" s="41">
        <v>28803.478000000006</v>
      </c>
      <c r="O49" s="41">
        <v>40291.759000000013</v>
      </c>
      <c r="P49" s="41">
        <v>26278.331999999999</v>
      </c>
      <c r="Q49" s="41">
        <v>42540.371000000014</v>
      </c>
      <c r="R49" s="41">
        <v>37172.433999999972</v>
      </c>
      <c r="S49" s="41">
        <v>41637.430999999997</v>
      </c>
      <c r="T49" s="41">
        <v>31219.431999999964</v>
      </c>
      <c r="U49" s="41">
        <v>28675.796000000013</v>
      </c>
      <c r="V49" s="41">
        <v>49731.127000000008</v>
      </c>
      <c r="W49" s="41">
        <v>41223.800000000025</v>
      </c>
      <c r="X49" s="41">
        <v>32654.809000000019</v>
      </c>
      <c r="Y49" s="41">
        <v>28539.58400000001</v>
      </c>
      <c r="Z49" s="41">
        <v>21790.126999999993</v>
      </c>
      <c r="AA49" s="41">
        <v>37336.114000000016</v>
      </c>
      <c r="AB49" s="41">
        <v>42632.649000000019</v>
      </c>
      <c r="AC49" s="41">
        <v>31690.889000000021</v>
      </c>
      <c r="AD49" s="41">
        <v>43097.821000000011</v>
      </c>
      <c r="AE49" s="150"/>
      <c r="AF49" s="150">
        <f>I49</f>
        <v>32802.146000000001</v>
      </c>
      <c r="AG49" s="150">
        <f t="shared" ref="AG49:AV52" si="25">ROUNDUP(($A49*J49)+((1-$A49)*AF49),0)</f>
        <v>33649</v>
      </c>
      <c r="AH49" s="150">
        <f t="shared" si="25"/>
        <v>33023</v>
      </c>
      <c r="AI49" s="150">
        <f t="shared" si="25"/>
        <v>30562</v>
      </c>
      <c r="AJ49" s="150">
        <f t="shared" si="25"/>
        <v>32767</v>
      </c>
      <c r="AK49" s="150">
        <f t="shared" si="25"/>
        <v>29723</v>
      </c>
      <c r="AL49" s="150">
        <f t="shared" si="25"/>
        <v>37840</v>
      </c>
      <c r="AM49" s="150">
        <f t="shared" si="25"/>
        <v>28961</v>
      </c>
      <c r="AN49" s="150">
        <f t="shared" si="25"/>
        <v>39391</v>
      </c>
      <c r="AO49" s="150">
        <f t="shared" si="25"/>
        <v>37688</v>
      </c>
      <c r="AP49" s="150">
        <f t="shared" si="25"/>
        <v>40722</v>
      </c>
      <c r="AQ49" s="150">
        <f t="shared" si="25"/>
        <v>33424</v>
      </c>
      <c r="AR49" s="150">
        <f t="shared" si="25"/>
        <v>29778</v>
      </c>
      <c r="AS49" s="150">
        <f t="shared" si="25"/>
        <v>45103</v>
      </c>
      <c r="AT49" s="150">
        <f t="shared" si="25"/>
        <v>42124</v>
      </c>
      <c r="AU49" s="150">
        <f t="shared" si="25"/>
        <v>34852</v>
      </c>
      <c r="AV49" s="150">
        <f t="shared" si="25"/>
        <v>30004</v>
      </c>
      <c r="AW49" s="150">
        <f t="shared" ref="AL49:BA57" si="26">ROUNDUP(($A49*Z49)+((1-$A49)*AV49),0)</f>
        <v>23696</v>
      </c>
      <c r="AX49" s="150">
        <f t="shared" si="26"/>
        <v>34172</v>
      </c>
      <c r="AY49" s="150">
        <f t="shared" si="26"/>
        <v>40670</v>
      </c>
      <c r="AZ49" s="150">
        <f t="shared" si="26"/>
        <v>33774</v>
      </c>
      <c r="BA49" s="148">
        <f t="shared" si="26"/>
        <v>40935</v>
      </c>
      <c r="BB49" s="152">
        <f>BA49</f>
        <v>40935</v>
      </c>
      <c r="BC49" s="152">
        <f>BB49</f>
        <v>40935</v>
      </c>
      <c r="BD49" s="45" t="str">
        <f t="shared" si="20"/>
        <v/>
      </c>
      <c r="BE49" s="45">
        <f t="shared" si="20"/>
        <v>1214362.1243609996</v>
      </c>
      <c r="BF49" s="45">
        <f t="shared" si="20"/>
        <v>665371.38420900214</v>
      </c>
      <c r="BG49" s="45">
        <f t="shared" si="20"/>
        <v>10269211.20272108</v>
      </c>
      <c r="BH49" s="45">
        <f t="shared" si="20"/>
        <v>8236871.3000248484</v>
      </c>
      <c r="BI49" s="45">
        <f t="shared" si="20"/>
        <v>15709506.644483948</v>
      </c>
      <c r="BJ49" s="45">
        <f t="shared" si="20"/>
        <v>111698666.80008127</v>
      </c>
      <c r="BK49" s="45">
        <f t="shared" si="20"/>
        <v>133672166.94222404</v>
      </c>
      <c r="BL49" s="45">
        <f t="shared" si="20"/>
        <v>184399316.75564137</v>
      </c>
      <c r="BM49" s="45">
        <f t="shared" si="20"/>
        <v>4922035.0963561246</v>
      </c>
      <c r="BN49" s="45">
        <f t="shared" si="20"/>
        <v>15598005.223760976</v>
      </c>
      <c r="BO49" s="45">
        <f t="shared" si="20"/>
        <v>90298798.594624683</v>
      </c>
      <c r="BP49" s="45">
        <f t="shared" si="20"/>
        <v>22545441.225615878</v>
      </c>
      <c r="BQ49" s="45">
        <f t="shared" si="20"/>
        <v>398127277.07812929</v>
      </c>
      <c r="BR49" s="45">
        <f t="shared" si="20"/>
        <v>15048192.639999809</v>
      </c>
      <c r="BS49" s="45">
        <f t="shared" si="8"/>
        <v>89665578.194480628</v>
      </c>
      <c r="BT49" s="45">
        <f t="shared" si="8"/>
        <v>39846595.757055879</v>
      </c>
      <c r="BU49" s="45">
        <f t="shared" si="8"/>
        <v>67467709.660129115</v>
      </c>
      <c r="BV49" s="45">
        <f t="shared" si="8"/>
        <v>186052709.93299642</v>
      </c>
      <c r="BW49" s="45">
        <f t="shared" si="8"/>
        <v>71582581.501201332</v>
      </c>
      <c r="BX49" s="45">
        <f t="shared" si="8"/>
        <v>80624434.350320622</v>
      </c>
      <c r="BY49" s="45">
        <f t="shared" si="8"/>
        <v>86933638.040041208</v>
      </c>
      <c r="BZ49" s="92">
        <f t="shared" si="4"/>
        <v>8822.5319507131953</v>
      </c>
      <c r="CA49" s="47">
        <f t="shared" si="5"/>
        <v>0.20470946665060383</v>
      </c>
      <c r="CB49" s="42">
        <f t="shared" si="17"/>
        <v>1</v>
      </c>
      <c r="CC49" s="42">
        <f t="shared" si="24"/>
        <v>2</v>
      </c>
      <c r="CD49" s="42">
        <f t="shared" si="24"/>
        <v>3</v>
      </c>
      <c r="CE49" s="42">
        <f t="shared" si="24"/>
        <v>4</v>
      </c>
      <c r="CF49" s="42">
        <f t="shared" si="24"/>
        <v>5</v>
      </c>
      <c r="CG49" s="42">
        <f t="shared" si="24"/>
        <v>6</v>
      </c>
      <c r="CH49" s="42">
        <f t="shared" si="24"/>
        <v>7</v>
      </c>
      <c r="CI49" s="42">
        <f t="shared" si="24"/>
        <v>8</v>
      </c>
      <c r="CJ49" s="42">
        <f t="shared" si="24"/>
        <v>9</v>
      </c>
      <c r="CK49" s="42">
        <f t="shared" si="24"/>
        <v>10</v>
      </c>
      <c r="CL49" s="42">
        <f t="shared" si="24"/>
        <v>11</v>
      </c>
      <c r="CM49" s="42">
        <f t="shared" si="24"/>
        <v>12</v>
      </c>
      <c r="CN49" s="42">
        <f t="shared" si="24"/>
        <v>13</v>
      </c>
      <c r="CO49" s="42">
        <f t="shared" si="24"/>
        <v>14</v>
      </c>
      <c r="CP49" s="42">
        <f t="shared" si="24"/>
        <v>15</v>
      </c>
      <c r="CQ49" s="42">
        <f t="shared" si="24"/>
        <v>16</v>
      </c>
      <c r="CR49" s="42">
        <f t="shared" si="23"/>
        <v>17</v>
      </c>
      <c r="CS49" s="42">
        <f t="shared" si="19"/>
        <v>18</v>
      </c>
      <c r="CT49" s="42">
        <f t="shared" si="19"/>
        <v>19</v>
      </c>
      <c r="CU49" s="42">
        <f t="shared" si="19"/>
        <v>20</v>
      </c>
      <c r="CV49" s="42">
        <f t="shared" si="19"/>
        <v>21</v>
      </c>
      <c r="CW49" s="42">
        <f t="shared" si="19"/>
        <v>22</v>
      </c>
      <c r="CX49" s="42">
        <f t="shared" si="19"/>
        <v>23</v>
      </c>
      <c r="CY49" s="42">
        <f t="shared" si="19"/>
        <v>24</v>
      </c>
      <c r="CZ49" s="42">
        <f t="shared" si="19"/>
        <v>25</v>
      </c>
      <c r="DA49" s="99"/>
      <c r="DB49" s="99"/>
      <c r="DC49" s="99"/>
      <c r="DD49" s="99"/>
      <c r="DE49" s="99"/>
      <c r="DF49" s="99"/>
      <c r="DG49" s="99"/>
      <c r="DH49" s="99"/>
      <c r="DI49" s="99"/>
      <c r="DJ49" s="99"/>
      <c r="DK49" s="99"/>
      <c r="DL49" s="99"/>
      <c r="DM49" s="99"/>
      <c r="DN49" s="99"/>
      <c r="DO49" s="99"/>
      <c r="DP49" s="99"/>
      <c r="DQ49" s="99"/>
      <c r="DR49" s="99"/>
      <c r="DS49" s="99"/>
      <c r="DT49" s="99"/>
      <c r="DU49" s="99"/>
      <c r="DV49" s="99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99"/>
      <c r="ET49" s="99"/>
      <c r="EU49" s="99"/>
      <c r="EV49" s="99"/>
      <c r="EW49" s="99"/>
      <c r="EX49" s="99"/>
      <c r="EY49" s="99"/>
      <c r="EZ49" s="99"/>
      <c r="FA49" s="99"/>
      <c r="FB49" s="99"/>
      <c r="FC49" s="99"/>
      <c r="FD49" s="99"/>
      <c r="FE49" s="99"/>
      <c r="FF49" s="99"/>
      <c r="FG49" s="99"/>
      <c r="FH49" s="99"/>
      <c r="FI49" s="99"/>
      <c r="FJ49" s="99"/>
      <c r="FK49" s="99"/>
      <c r="FL49" s="99"/>
      <c r="FM49" s="99"/>
      <c r="FN49" s="99"/>
      <c r="FO49" s="25" t="str">
        <f t="shared" si="6"/>
        <v>Brown's model1</v>
      </c>
    </row>
    <row r="50" spans="1:171">
      <c r="A50" s="145">
        <v>0.20868168425717118</v>
      </c>
      <c r="B50" s="141"/>
      <c r="C50" s="141"/>
      <c r="D50" s="141"/>
      <c r="E50" s="141"/>
      <c r="F50" s="131"/>
      <c r="G50" s="39" t="s">
        <v>44</v>
      </c>
      <c r="H50" s="40">
        <v>2</v>
      </c>
      <c r="I50" s="41">
        <v>2034.829</v>
      </c>
      <c r="J50" s="41">
        <v>3926.1889999999994</v>
      </c>
      <c r="K50" s="41">
        <v>3165.9719999999993</v>
      </c>
      <c r="L50" s="41">
        <v>2405.7349999999997</v>
      </c>
      <c r="M50" s="41">
        <v>4985.2890000000025</v>
      </c>
      <c r="N50" s="41">
        <v>3527.0360000000028</v>
      </c>
      <c r="O50" s="41">
        <v>5465.6859999999933</v>
      </c>
      <c r="P50" s="41">
        <v>3315.097000000002</v>
      </c>
      <c r="Q50" s="41">
        <v>5477.0960000000023</v>
      </c>
      <c r="R50" s="41">
        <v>4799.9790000000003</v>
      </c>
      <c r="S50" s="41">
        <v>6470.7690000000048</v>
      </c>
      <c r="T50" s="41">
        <v>5351.2719999999999</v>
      </c>
      <c r="U50" s="41">
        <v>5938.1189999999997</v>
      </c>
      <c r="V50" s="41">
        <v>4660.0050000000001</v>
      </c>
      <c r="W50" s="41">
        <v>5788.3040000000074</v>
      </c>
      <c r="X50" s="41">
        <v>5788.3040000000074</v>
      </c>
      <c r="Y50" s="41">
        <v>5652.8189999999959</v>
      </c>
      <c r="Z50" s="41">
        <v>4704.0000000000045</v>
      </c>
      <c r="AA50" s="41">
        <v>4291.5800000000008</v>
      </c>
      <c r="AB50" s="41">
        <v>5788.3040000000074</v>
      </c>
      <c r="AC50" s="41">
        <v>5711.5479999999989</v>
      </c>
      <c r="AD50" s="41">
        <v>6232.6779999999999</v>
      </c>
      <c r="AE50" s="150"/>
      <c r="AF50" s="150">
        <f>I50</f>
        <v>2034.829</v>
      </c>
      <c r="AG50" s="150">
        <f t="shared" si="25"/>
        <v>2430</v>
      </c>
      <c r="AH50" s="150">
        <f t="shared" si="25"/>
        <v>2584</v>
      </c>
      <c r="AI50" s="150">
        <f t="shared" si="25"/>
        <v>2547</v>
      </c>
      <c r="AJ50" s="150">
        <f t="shared" si="25"/>
        <v>3056</v>
      </c>
      <c r="AK50" s="150">
        <f t="shared" si="25"/>
        <v>3155</v>
      </c>
      <c r="AL50" s="150">
        <f t="shared" si="25"/>
        <v>3638</v>
      </c>
      <c r="AM50" s="150">
        <f t="shared" si="25"/>
        <v>3571</v>
      </c>
      <c r="AN50" s="150">
        <f t="shared" si="25"/>
        <v>3969</v>
      </c>
      <c r="AO50" s="150">
        <f t="shared" si="25"/>
        <v>4143</v>
      </c>
      <c r="AP50" s="150">
        <f t="shared" si="25"/>
        <v>4629</v>
      </c>
      <c r="AQ50" s="150">
        <f t="shared" si="26"/>
        <v>4780</v>
      </c>
      <c r="AR50" s="150">
        <f t="shared" si="26"/>
        <v>5022</v>
      </c>
      <c r="AS50" s="150">
        <f t="shared" si="26"/>
        <v>4947</v>
      </c>
      <c r="AT50" s="150">
        <f t="shared" si="26"/>
        <v>5123</v>
      </c>
      <c r="AU50" s="150">
        <f t="shared" si="26"/>
        <v>5262</v>
      </c>
      <c r="AV50" s="150">
        <f t="shared" si="26"/>
        <v>5344</v>
      </c>
      <c r="AW50" s="150">
        <f t="shared" si="26"/>
        <v>5211</v>
      </c>
      <c r="AX50" s="150">
        <f t="shared" si="26"/>
        <v>5020</v>
      </c>
      <c r="AY50" s="150">
        <f t="shared" si="26"/>
        <v>5181</v>
      </c>
      <c r="AZ50" s="150">
        <f t="shared" si="26"/>
        <v>5292</v>
      </c>
      <c r="BA50" s="148">
        <f t="shared" si="26"/>
        <v>5489</v>
      </c>
      <c r="BB50" s="153">
        <f t="shared" ref="BB50:BC57" si="27">BA50</f>
        <v>5489</v>
      </c>
      <c r="BC50" s="153">
        <f t="shared" si="27"/>
        <v>5489</v>
      </c>
      <c r="BD50" s="45" t="str">
        <f t="shared" si="20"/>
        <v/>
      </c>
      <c r="BE50" s="45">
        <f t="shared" si="20"/>
        <v>3577242.6495999978</v>
      </c>
      <c r="BF50" s="45">
        <f t="shared" si="20"/>
        <v>541654.78478399897</v>
      </c>
      <c r="BG50" s="45">
        <f t="shared" si="20"/>
        <v>31778.410225000116</v>
      </c>
      <c r="BH50" s="45">
        <f t="shared" si="20"/>
        <v>5945253.2475210121</v>
      </c>
      <c r="BI50" s="45">
        <f t="shared" si="20"/>
        <v>221874.91329600263</v>
      </c>
      <c r="BJ50" s="45">
        <f t="shared" si="20"/>
        <v>5339269.7905959692</v>
      </c>
      <c r="BK50" s="45">
        <f t="shared" si="20"/>
        <v>104266.34740899868</v>
      </c>
      <c r="BL50" s="45">
        <f t="shared" si="20"/>
        <v>3633201.9612160088</v>
      </c>
      <c r="BM50" s="45">
        <f t="shared" si="20"/>
        <v>690526.09844100045</v>
      </c>
      <c r="BN50" s="45">
        <f t="shared" si="20"/>
        <v>5418508.5173610225</v>
      </c>
      <c r="BO50" s="45">
        <f t="shared" si="20"/>
        <v>521676.84198399988</v>
      </c>
      <c r="BP50" s="45">
        <f t="shared" si="20"/>
        <v>1341239.6181609994</v>
      </c>
      <c r="BQ50" s="45">
        <f t="shared" si="20"/>
        <v>131040.38002499992</v>
      </c>
      <c r="BR50" s="45">
        <f t="shared" si="20"/>
        <v>707792.42041601241</v>
      </c>
      <c r="BS50" s="45">
        <f t="shared" si="8"/>
        <v>442629.41241600981</v>
      </c>
      <c r="BT50" s="45">
        <f t="shared" si="8"/>
        <v>152739.49076099676</v>
      </c>
      <c r="BU50" s="45">
        <f t="shared" si="8"/>
        <v>409599.99999999418</v>
      </c>
      <c r="BV50" s="45">
        <f t="shared" si="8"/>
        <v>845333.13639999845</v>
      </c>
      <c r="BW50" s="45">
        <f t="shared" si="8"/>
        <v>590291.03641601128</v>
      </c>
      <c r="BX50" s="45">
        <f t="shared" si="8"/>
        <v>281481.18030399882</v>
      </c>
      <c r="BY50" s="45">
        <f t="shared" si="8"/>
        <v>884875.09968399978</v>
      </c>
      <c r="BZ50" s="92">
        <f t="shared" si="4"/>
        <v>1230.8006557292779</v>
      </c>
      <c r="CA50" s="47">
        <f t="shared" si="5"/>
        <v>0.19747541197046886</v>
      </c>
      <c r="CB50" s="42">
        <f t="shared" si="17"/>
        <v>1</v>
      </c>
      <c r="CC50" s="42">
        <f t="shared" si="24"/>
        <v>2</v>
      </c>
      <c r="CD50" s="42">
        <f t="shared" si="24"/>
        <v>3</v>
      </c>
      <c r="CE50" s="42">
        <f t="shared" si="24"/>
        <v>4</v>
      </c>
      <c r="CF50" s="42">
        <f t="shared" si="24"/>
        <v>5</v>
      </c>
      <c r="CG50" s="42">
        <f t="shared" si="24"/>
        <v>6</v>
      </c>
      <c r="CH50" s="42">
        <f t="shared" si="24"/>
        <v>7</v>
      </c>
      <c r="CI50" s="42">
        <f t="shared" si="24"/>
        <v>8</v>
      </c>
      <c r="CJ50" s="42">
        <f t="shared" si="24"/>
        <v>9</v>
      </c>
      <c r="CK50" s="42">
        <f t="shared" si="24"/>
        <v>10</v>
      </c>
      <c r="CL50" s="42">
        <f t="shared" si="24"/>
        <v>11</v>
      </c>
      <c r="CM50" s="42">
        <f t="shared" si="24"/>
        <v>12</v>
      </c>
      <c r="CN50" s="42">
        <f t="shared" si="24"/>
        <v>13</v>
      </c>
      <c r="CO50" s="42">
        <f t="shared" si="24"/>
        <v>14</v>
      </c>
      <c r="CP50" s="42">
        <f t="shared" si="24"/>
        <v>15</v>
      </c>
      <c r="CQ50" s="42">
        <f t="shared" si="24"/>
        <v>16</v>
      </c>
      <c r="CR50" s="42">
        <f t="shared" si="23"/>
        <v>17</v>
      </c>
      <c r="CS50" s="42">
        <f t="shared" si="19"/>
        <v>18</v>
      </c>
      <c r="CT50" s="42">
        <f t="shared" si="19"/>
        <v>19</v>
      </c>
      <c r="CU50" s="42">
        <f t="shared" si="19"/>
        <v>20</v>
      </c>
      <c r="CV50" s="42">
        <f t="shared" si="19"/>
        <v>21</v>
      </c>
      <c r="CW50" s="42">
        <f t="shared" si="19"/>
        <v>22</v>
      </c>
      <c r="CX50" s="42">
        <f t="shared" si="19"/>
        <v>23</v>
      </c>
      <c r="CY50" s="42">
        <f t="shared" si="19"/>
        <v>24</v>
      </c>
      <c r="CZ50" s="42">
        <f t="shared" si="19"/>
        <v>25</v>
      </c>
      <c r="DA50" s="100"/>
      <c r="DB50" s="99"/>
      <c r="DC50" s="99"/>
      <c r="DD50" s="99"/>
      <c r="DE50" s="99"/>
      <c r="DF50" s="99"/>
      <c r="DG50" s="99"/>
      <c r="DH50" s="99"/>
      <c r="DI50" s="99"/>
      <c r="DJ50" s="99"/>
      <c r="DK50" s="99"/>
      <c r="DL50" s="99"/>
      <c r="DM50" s="99"/>
      <c r="DN50" s="99"/>
      <c r="DO50" s="99"/>
      <c r="DP50" s="99"/>
      <c r="DQ50" s="99"/>
      <c r="DR50" s="99"/>
      <c r="DS50" s="99"/>
      <c r="DT50" s="99"/>
      <c r="DU50" s="99"/>
      <c r="DV50" s="99"/>
      <c r="DW50" s="42"/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42"/>
      <c r="EK50" s="42"/>
      <c r="EL50" s="42"/>
      <c r="EM50" s="42"/>
      <c r="EN50" s="42"/>
      <c r="EO50" s="42"/>
      <c r="EP50" s="42"/>
      <c r="EQ50" s="42"/>
      <c r="ER50" s="42"/>
      <c r="ES50" s="100"/>
      <c r="ET50" s="99"/>
      <c r="EU50" s="99"/>
      <c r="EV50" s="99"/>
      <c r="EW50" s="99"/>
      <c r="EX50" s="99"/>
      <c r="EY50" s="99"/>
      <c r="EZ50" s="99"/>
      <c r="FA50" s="99"/>
      <c r="FB50" s="99"/>
      <c r="FC50" s="99"/>
      <c r="FD50" s="99"/>
      <c r="FE50" s="99"/>
      <c r="FF50" s="99"/>
      <c r="FG50" s="99"/>
      <c r="FH50" s="99"/>
      <c r="FI50" s="99"/>
      <c r="FJ50" s="99"/>
      <c r="FK50" s="99"/>
      <c r="FL50" s="99"/>
      <c r="FM50" s="99"/>
      <c r="FN50" s="99"/>
      <c r="FO50" s="25" t="str">
        <f t="shared" si="6"/>
        <v>Brown's model2</v>
      </c>
    </row>
    <row r="51" spans="1:171">
      <c r="A51" s="145">
        <v>0.95682904930112445</v>
      </c>
      <c r="B51" s="141"/>
      <c r="C51" s="141"/>
      <c r="D51" s="141"/>
      <c r="E51" s="141"/>
      <c r="F51" s="124"/>
      <c r="G51" s="39" t="s">
        <v>44</v>
      </c>
      <c r="H51" s="40">
        <v>3</v>
      </c>
      <c r="I51" s="41">
        <v>13358.629000000003</v>
      </c>
      <c r="J51" s="41">
        <v>20803.865999999976</v>
      </c>
      <c r="K51" s="41">
        <v>20017.845000000023</v>
      </c>
      <c r="L51" s="41">
        <v>15104.177</v>
      </c>
      <c r="M51" s="41">
        <v>26176.769000000015</v>
      </c>
      <c r="N51" s="41">
        <v>16747.22099999998</v>
      </c>
      <c r="O51" s="41">
        <v>26239.445000000032</v>
      </c>
      <c r="P51" s="41">
        <v>19977.948</v>
      </c>
      <c r="Q51" s="41">
        <v>24363.912000000008</v>
      </c>
      <c r="R51" s="41">
        <v>27562.603000000043</v>
      </c>
      <c r="S51" s="41">
        <v>19304.851999999999</v>
      </c>
      <c r="T51" s="41">
        <v>18896.307999999983</v>
      </c>
      <c r="U51" s="41">
        <v>18222.650000000001</v>
      </c>
      <c r="V51" s="41">
        <v>22709.071000000025</v>
      </c>
      <c r="W51" s="41">
        <v>16042.15199999998</v>
      </c>
      <c r="X51" s="41">
        <v>16228.581999999999</v>
      </c>
      <c r="Y51" s="41">
        <v>16931.791000000016</v>
      </c>
      <c r="Z51" s="41">
        <v>19747.198</v>
      </c>
      <c r="AA51" s="41">
        <v>19613.917000000005</v>
      </c>
      <c r="AB51" s="41">
        <v>23936.453999999991</v>
      </c>
      <c r="AC51" s="41">
        <v>26626.845000000001</v>
      </c>
      <c r="AD51" s="41">
        <v>29996.83699999996</v>
      </c>
      <c r="AE51" s="150"/>
      <c r="AF51" s="150">
        <f>I51</f>
        <v>13358.629000000003</v>
      </c>
      <c r="AG51" s="150">
        <f t="shared" si="25"/>
        <v>20483</v>
      </c>
      <c r="AH51" s="150">
        <f t="shared" si="25"/>
        <v>20038</v>
      </c>
      <c r="AI51" s="150">
        <f t="shared" si="25"/>
        <v>15318</v>
      </c>
      <c r="AJ51" s="150">
        <f t="shared" si="25"/>
        <v>25708</v>
      </c>
      <c r="AK51" s="150">
        <f t="shared" si="25"/>
        <v>17135</v>
      </c>
      <c r="AL51" s="150">
        <f t="shared" si="25"/>
        <v>25847</v>
      </c>
      <c r="AM51" s="150">
        <f t="shared" si="25"/>
        <v>20232</v>
      </c>
      <c r="AN51" s="150">
        <f t="shared" si="25"/>
        <v>24186</v>
      </c>
      <c r="AO51" s="150">
        <f t="shared" si="25"/>
        <v>27417</v>
      </c>
      <c r="AP51" s="150">
        <f t="shared" si="25"/>
        <v>19656</v>
      </c>
      <c r="AQ51" s="150">
        <f t="shared" si="26"/>
        <v>18930</v>
      </c>
      <c r="AR51" s="150">
        <f t="shared" si="26"/>
        <v>18254</v>
      </c>
      <c r="AS51" s="150">
        <f t="shared" si="26"/>
        <v>22517</v>
      </c>
      <c r="AT51" s="150">
        <f t="shared" si="26"/>
        <v>16322</v>
      </c>
      <c r="AU51" s="150">
        <f t="shared" si="26"/>
        <v>16233</v>
      </c>
      <c r="AV51" s="150">
        <f t="shared" si="26"/>
        <v>16902</v>
      </c>
      <c r="AW51" s="150">
        <f t="shared" si="26"/>
        <v>19625</v>
      </c>
      <c r="AX51" s="150">
        <f t="shared" si="26"/>
        <v>19615</v>
      </c>
      <c r="AY51" s="150">
        <f t="shared" si="26"/>
        <v>23750</v>
      </c>
      <c r="AZ51" s="150">
        <f t="shared" si="26"/>
        <v>26503</v>
      </c>
      <c r="BA51" s="148">
        <f t="shared" si="26"/>
        <v>29847</v>
      </c>
      <c r="BB51" s="153">
        <f t="shared" si="27"/>
        <v>29847</v>
      </c>
      <c r="BC51" s="153">
        <f t="shared" si="27"/>
        <v>29847</v>
      </c>
      <c r="BD51" s="45" t="str">
        <f t="shared" si="20"/>
        <v/>
      </c>
      <c r="BE51" s="45">
        <f t="shared" si="20"/>
        <v>55431553.986168608</v>
      </c>
      <c r="BF51" s="45">
        <f t="shared" si="20"/>
        <v>216369.17402497862</v>
      </c>
      <c r="BG51" s="45">
        <f t="shared" si="20"/>
        <v>24342609.395329002</v>
      </c>
      <c r="BH51" s="45">
        <f t="shared" si="20"/>
        <v>117912864.19536132</v>
      </c>
      <c r="BI51" s="45">
        <f t="shared" si="20"/>
        <v>80295560.286841363</v>
      </c>
      <c r="BJ51" s="45">
        <f t="shared" si="20"/>
        <v>82890918.758025587</v>
      </c>
      <c r="BK51" s="45">
        <f t="shared" si="20"/>
        <v>34445771.378703997</v>
      </c>
      <c r="BL51" s="45">
        <f t="shared" si="20"/>
        <v>17072696.775744062</v>
      </c>
      <c r="BM51" s="45">
        <f t="shared" si="20"/>
        <v>11401447.81960929</v>
      </c>
      <c r="BN51" s="45">
        <f t="shared" si="20"/>
        <v>65806945.173904017</v>
      </c>
      <c r="BO51" s="45">
        <f t="shared" si="20"/>
        <v>577131.93486402626</v>
      </c>
      <c r="BP51" s="45">
        <f t="shared" si="20"/>
        <v>500344.02249999793</v>
      </c>
      <c r="BQ51" s="45">
        <f t="shared" si="20"/>
        <v>19847657.615041226</v>
      </c>
      <c r="BR51" s="45">
        <f t="shared" si="20"/>
        <v>41923656.623104259</v>
      </c>
      <c r="BS51" s="45">
        <f t="shared" si="20"/>
        <v>8726.9227240002765</v>
      </c>
      <c r="BT51" s="45">
        <f t="shared" ref="BT51:BY82" si="28">IF(AU51="","",(AU51-Y51)^2)</f>
        <v>488308.86168102187</v>
      </c>
      <c r="BU51" s="45">
        <f t="shared" si="28"/>
        <v>8095151.6592040015</v>
      </c>
      <c r="BV51" s="45">
        <f t="shared" si="28"/>
        <v>122.83288899989097</v>
      </c>
      <c r="BW51" s="45">
        <f t="shared" si="28"/>
        <v>18674964.674115919</v>
      </c>
      <c r="BX51" s="45">
        <f t="shared" si="28"/>
        <v>8276237.154025007</v>
      </c>
      <c r="BY51" s="45">
        <f t="shared" si="28"/>
        <v>12206896.982568717</v>
      </c>
      <c r="BZ51" s="92">
        <f t="shared" si="4"/>
        <v>5347.0772444767799</v>
      </c>
      <c r="CA51" s="47">
        <f t="shared" si="5"/>
        <v>0.17825470213665484</v>
      </c>
      <c r="CB51" s="42">
        <f t="shared" si="17"/>
        <v>1</v>
      </c>
      <c r="CC51" s="42">
        <f t="shared" si="24"/>
        <v>2</v>
      </c>
      <c r="CD51" s="42">
        <f t="shared" si="24"/>
        <v>3</v>
      </c>
      <c r="CE51" s="42">
        <f t="shared" si="24"/>
        <v>4</v>
      </c>
      <c r="CF51" s="42">
        <f t="shared" si="24"/>
        <v>5</v>
      </c>
      <c r="CG51" s="42">
        <f t="shared" si="24"/>
        <v>6</v>
      </c>
      <c r="CH51" s="42">
        <f t="shared" si="24"/>
        <v>7</v>
      </c>
      <c r="CI51" s="42">
        <f t="shared" si="24"/>
        <v>8</v>
      </c>
      <c r="CJ51" s="42">
        <f t="shared" si="24"/>
        <v>9</v>
      </c>
      <c r="CK51" s="42">
        <f t="shared" si="24"/>
        <v>10</v>
      </c>
      <c r="CL51" s="42">
        <f t="shared" si="24"/>
        <v>11</v>
      </c>
      <c r="CM51" s="42">
        <f t="shared" si="24"/>
        <v>12</v>
      </c>
      <c r="CN51" s="42">
        <f t="shared" si="24"/>
        <v>13</v>
      </c>
      <c r="CO51" s="42">
        <f t="shared" si="24"/>
        <v>14</v>
      </c>
      <c r="CP51" s="42">
        <f t="shared" si="24"/>
        <v>15</v>
      </c>
      <c r="CQ51" s="42">
        <f t="shared" si="24"/>
        <v>16</v>
      </c>
      <c r="CR51" s="42">
        <f t="shared" si="23"/>
        <v>17</v>
      </c>
      <c r="CS51" s="42">
        <f t="shared" si="19"/>
        <v>18</v>
      </c>
      <c r="CT51" s="42">
        <f t="shared" si="19"/>
        <v>19</v>
      </c>
      <c r="CU51" s="42">
        <f t="shared" si="19"/>
        <v>20</v>
      </c>
      <c r="CV51" s="42">
        <f t="shared" si="19"/>
        <v>21</v>
      </c>
      <c r="CW51" s="42">
        <f t="shared" si="19"/>
        <v>22</v>
      </c>
      <c r="CX51" s="42">
        <f t="shared" si="19"/>
        <v>23</v>
      </c>
      <c r="CY51" s="42">
        <f t="shared" si="19"/>
        <v>24</v>
      </c>
      <c r="CZ51" s="42">
        <f t="shared" si="19"/>
        <v>25</v>
      </c>
      <c r="DA51" s="100"/>
      <c r="DB51" s="99"/>
      <c r="DC51" s="99"/>
      <c r="DD51" s="99"/>
      <c r="DE51" s="99"/>
      <c r="DF51" s="99"/>
      <c r="DG51" s="99"/>
      <c r="DH51" s="99"/>
      <c r="DI51" s="99"/>
      <c r="DJ51" s="99"/>
      <c r="DK51" s="99"/>
      <c r="DL51" s="99"/>
      <c r="DM51" s="99"/>
      <c r="DN51" s="99"/>
      <c r="DO51" s="99"/>
      <c r="DP51" s="99"/>
      <c r="DQ51" s="99"/>
      <c r="DR51" s="99"/>
      <c r="DS51" s="99"/>
      <c r="DT51" s="99"/>
      <c r="DU51" s="99"/>
      <c r="DV51" s="99"/>
      <c r="DW51" s="42"/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42"/>
      <c r="EK51" s="42"/>
      <c r="EL51" s="42"/>
      <c r="EM51" s="42"/>
      <c r="EN51" s="42"/>
      <c r="EO51" s="42"/>
      <c r="EP51" s="42"/>
      <c r="EQ51" s="42"/>
      <c r="ER51" s="42"/>
      <c r="ES51" s="100"/>
      <c r="ET51" s="99"/>
      <c r="EU51" s="99"/>
      <c r="EV51" s="99"/>
      <c r="EW51" s="99"/>
      <c r="EX51" s="99"/>
      <c r="EY51" s="99"/>
      <c r="EZ51" s="99"/>
      <c r="FA51" s="99"/>
      <c r="FB51" s="99"/>
      <c r="FC51" s="99"/>
      <c r="FD51" s="99"/>
      <c r="FE51" s="99"/>
      <c r="FF51" s="99"/>
      <c r="FG51" s="99"/>
      <c r="FH51" s="99"/>
      <c r="FI51" s="99"/>
      <c r="FJ51" s="99"/>
      <c r="FK51" s="99"/>
      <c r="FL51" s="99"/>
      <c r="FM51" s="99"/>
      <c r="FN51" s="99"/>
      <c r="FO51" s="25" t="str">
        <f t="shared" si="6"/>
        <v>Brown's model3</v>
      </c>
    </row>
    <row r="52" spans="1:171">
      <c r="A52" s="145">
        <v>0.9744635483478844</v>
      </c>
      <c r="B52" s="141"/>
      <c r="C52" s="141"/>
      <c r="D52" s="141"/>
      <c r="E52" s="141"/>
      <c r="F52" s="131"/>
      <c r="G52" s="39" t="s">
        <v>44</v>
      </c>
      <c r="H52" s="40">
        <v>4</v>
      </c>
      <c r="I52" s="41">
        <v>400.44400000000007</v>
      </c>
      <c r="J52" s="41">
        <v>2589.7540000000013</v>
      </c>
      <c r="K52" s="41">
        <v>1336.3789999999999</v>
      </c>
      <c r="L52" s="41">
        <v>1186.7760000000001</v>
      </c>
      <c r="M52" s="41">
        <v>839.32799999999986</v>
      </c>
      <c r="N52" s="41">
        <v>2024.5600000000004</v>
      </c>
      <c r="O52" s="41">
        <v>1502.1150000000002</v>
      </c>
      <c r="P52" s="41">
        <v>1294.5919999999994</v>
      </c>
      <c r="Q52" s="41">
        <v>1067.4629999999997</v>
      </c>
      <c r="R52" s="41">
        <v>2076.5049999999987</v>
      </c>
      <c r="S52" s="41">
        <v>2051.2060000000006</v>
      </c>
      <c r="T52" s="41">
        <v>1039.9769999999999</v>
      </c>
      <c r="U52" s="41">
        <v>922.57100000000003</v>
      </c>
      <c r="V52" s="41">
        <v>380.83800000000002</v>
      </c>
      <c r="W52" s="41">
        <v>2476.893</v>
      </c>
      <c r="X52" s="41">
        <v>453.2119999999997</v>
      </c>
      <c r="Y52" s="41">
        <v>2092.7499999999995</v>
      </c>
      <c r="Z52" s="41">
        <v>823.12700000000018</v>
      </c>
      <c r="AA52" s="41">
        <v>1106.48</v>
      </c>
      <c r="AB52" s="41">
        <v>864.59699999999987</v>
      </c>
      <c r="AC52" s="41">
        <v>1086.4360000000004</v>
      </c>
      <c r="AD52" s="41">
        <v>1891.8890000000001</v>
      </c>
      <c r="AE52" s="150"/>
      <c r="AF52" s="150"/>
      <c r="AG52" s="150"/>
      <c r="AH52" s="150"/>
      <c r="AI52" s="150"/>
      <c r="AJ52" s="150"/>
      <c r="AK52" s="150">
        <f>N52</f>
        <v>2024.5600000000004</v>
      </c>
      <c r="AL52" s="150">
        <f t="shared" si="25"/>
        <v>1516</v>
      </c>
      <c r="AM52" s="150">
        <f t="shared" si="25"/>
        <v>1301</v>
      </c>
      <c r="AN52" s="150">
        <f t="shared" si="25"/>
        <v>1074</v>
      </c>
      <c r="AO52" s="150">
        <f t="shared" si="25"/>
        <v>2051</v>
      </c>
      <c r="AP52" s="150">
        <f t="shared" si="25"/>
        <v>2052</v>
      </c>
      <c r="AQ52" s="150">
        <f t="shared" si="25"/>
        <v>1066</v>
      </c>
      <c r="AR52" s="150">
        <f t="shared" si="25"/>
        <v>927</v>
      </c>
      <c r="AS52" s="150">
        <f t="shared" si="25"/>
        <v>395</v>
      </c>
      <c r="AT52" s="150">
        <f t="shared" si="25"/>
        <v>2424</v>
      </c>
      <c r="AU52" s="150">
        <f t="shared" si="25"/>
        <v>504</v>
      </c>
      <c r="AV52" s="150">
        <f t="shared" si="25"/>
        <v>2053</v>
      </c>
      <c r="AW52" s="150">
        <f t="shared" si="26"/>
        <v>855</v>
      </c>
      <c r="AX52" s="150">
        <f t="shared" si="26"/>
        <v>1101</v>
      </c>
      <c r="AY52" s="150">
        <f t="shared" si="26"/>
        <v>871</v>
      </c>
      <c r="AZ52" s="150">
        <f t="shared" si="26"/>
        <v>1081</v>
      </c>
      <c r="BA52" s="148">
        <f t="shared" si="26"/>
        <v>1872</v>
      </c>
      <c r="BB52" s="153">
        <f t="shared" si="27"/>
        <v>1872</v>
      </c>
      <c r="BC52" s="153">
        <f t="shared" si="27"/>
        <v>1872</v>
      </c>
      <c r="BD52" s="45" t="str">
        <f t="shared" si="20"/>
        <v/>
      </c>
      <c r="BE52" s="45" t="str">
        <f t="shared" si="20"/>
        <v/>
      </c>
      <c r="BF52" s="45" t="str">
        <f t="shared" si="20"/>
        <v/>
      </c>
      <c r="BG52" s="45" t="str">
        <f t="shared" si="20"/>
        <v/>
      </c>
      <c r="BH52" s="45" t="str">
        <f t="shared" si="20"/>
        <v/>
      </c>
      <c r="BI52" s="45" t="str">
        <f t="shared" si="20"/>
        <v/>
      </c>
      <c r="BJ52" s="45">
        <f t="shared" si="20"/>
        <v>272948.77802500018</v>
      </c>
      <c r="BK52" s="45">
        <f t="shared" si="20"/>
        <v>49021.502464000259</v>
      </c>
      <c r="BL52" s="45">
        <f t="shared" si="20"/>
        <v>54539.530369000124</v>
      </c>
      <c r="BM52" s="45">
        <f t="shared" si="20"/>
        <v>1005016.2750249975</v>
      </c>
      <c r="BN52" s="45">
        <f t="shared" si="20"/>
        <v>4.2436000000241315E-2</v>
      </c>
      <c r="BO52" s="45">
        <f t="shared" si="20"/>
        <v>1024190.5525290003</v>
      </c>
      <c r="BP52" s="45">
        <f t="shared" si="20"/>
        <v>20571.878040999993</v>
      </c>
      <c r="BQ52" s="45">
        <f t="shared" si="20"/>
        <v>298292.93024400005</v>
      </c>
      <c r="BR52" s="45">
        <f t="shared" si="20"/>
        <v>4334278.4634490004</v>
      </c>
      <c r="BS52" s="45">
        <f t="shared" si="20"/>
        <v>3884005.340944001</v>
      </c>
      <c r="BT52" s="45">
        <f t="shared" si="28"/>
        <v>2524126.5624999986</v>
      </c>
      <c r="BU52" s="45">
        <f t="shared" si="28"/>
        <v>1512587.5961289995</v>
      </c>
      <c r="BV52" s="45">
        <f t="shared" si="28"/>
        <v>63242.190400000007</v>
      </c>
      <c r="BW52" s="45">
        <f t="shared" si="28"/>
        <v>55886.378409000063</v>
      </c>
      <c r="BX52" s="45">
        <f t="shared" si="28"/>
        <v>46412.670096000162</v>
      </c>
      <c r="BY52" s="45">
        <f t="shared" si="28"/>
        <v>657540.9703210002</v>
      </c>
      <c r="BZ52" s="92">
        <f t="shared" si="4"/>
        <v>993.81404389166914</v>
      </c>
      <c r="CA52" s="47">
        <f t="shared" si="5"/>
        <v>0.52530251187657895</v>
      </c>
      <c r="CB52" s="42">
        <f t="shared" si="17"/>
        <v>1</v>
      </c>
      <c r="CC52" s="42">
        <f t="shared" si="24"/>
        <v>2</v>
      </c>
      <c r="CD52" s="42">
        <f t="shared" si="24"/>
        <v>3</v>
      </c>
      <c r="CE52" s="42">
        <f t="shared" si="24"/>
        <v>4</v>
      </c>
      <c r="CF52" s="42">
        <f t="shared" si="24"/>
        <v>5</v>
      </c>
      <c r="CG52" s="42">
        <f t="shared" si="24"/>
        <v>6</v>
      </c>
      <c r="CH52" s="42">
        <f t="shared" si="24"/>
        <v>7</v>
      </c>
      <c r="CI52" s="42">
        <f t="shared" si="24"/>
        <v>8</v>
      </c>
      <c r="CJ52" s="42">
        <f t="shared" si="24"/>
        <v>9</v>
      </c>
      <c r="CK52" s="42">
        <f t="shared" si="24"/>
        <v>10</v>
      </c>
      <c r="CL52" s="42">
        <f t="shared" si="24"/>
        <v>11</v>
      </c>
      <c r="CM52" s="42">
        <f t="shared" si="24"/>
        <v>12</v>
      </c>
      <c r="CN52" s="42">
        <f t="shared" si="24"/>
        <v>13</v>
      </c>
      <c r="CO52" s="42">
        <f t="shared" si="24"/>
        <v>14</v>
      </c>
      <c r="CP52" s="42">
        <f t="shared" si="24"/>
        <v>15</v>
      </c>
      <c r="CQ52" s="42">
        <f t="shared" si="24"/>
        <v>16</v>
      </c>
      <c r="CR52" s="42">
        <f t="shared" si="23"/>
        <v>17</v>
      </c>
      <c r="CS52" s="42">
        <f t="shared" si="19"/>
        <v>18</v>
      </c>
      <c r="CT52" s="42">
        <f t="shared" si="19"/>
        <v>19</v>
      </c>
      <c r="CU52" s="42">
        <f t="shared" si="19"/>
        <v>20</v>
      </c>
      <c r="CV52" s="42">
        <f t="shared" si="19"/>
        <v>21</v>
      </c>
      <c r="CW52" s="42">
        <f t="shared" si="19"/>
        <v>22</v>
      </c>
      <c r="CX52" s="42">
        <f t="shared" si="19"/>
        <v>23</v>
      </c>
      <c r="CY52" s="42">
        <f t="shared" si="19"/>
        <v>24</v>
      </c>
      <c r="CZ52" s="42">
        <f t="shared" si="19"/>
        <v>25</v>
      </c>
      <c r="DA52" s="100"/>
      <c r="DB52" s="99"/>
      <c r="DC52" s="99"/>
      <c r="DD52" s="99"/>
      <c r="DE52" s="99"/>
      <c r="DF52" s="99"/>
      <c r="DG52" s="99"/>
      <c r="DH52" s="99"/>
      <c r="DI52" s="99"/>
      <c r="DJ52" s="99"/>
      <c r="DK52" s="99"/>
      <c r="DL52" s="99"/>
      <c r="DM52" s="99"/>
      <c r="DN52" s="99"/>
      <c r="DO52" s="99"/>
      <c r="DP52" s="99"/>
      <c r="DQ52" s="99"/>
      <c r="DR52" s="99"/>
      <c r="DS52" s="99"/>
      <c r="DT52" s="99"/>
      <c r="DU52" s="99"/>
      <c r="DV52" s="99"/>
      <c r="DW52" s="42"/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42"/>
      <c r="EK52" s="42"/>
      <c r="EL52" s="42"/>
      <c r="EM52" s="42"/>
      <c r="EN52" s="42"/>
      <c r="EO52" s="42"/>
      <c r="EP52" s="42"/>
      <c r="EQ52" s="42"/>
      <c r="ER52" s="42"/>
      <c r="ES52" s="100"/>
      <c r="ET52" s="99"/>
      <c r="EU52" s="99"/>
      <c r="EV52" s="99"/>
      <c r="EW52" s="99"/>
      <c r="EX52" s="99"/>
      <c r="EY52" s="99"/>
      <c r="EZ52" s="99"/>
      <c r="FA52" s="99"/>
      <c r="FB52" s="99"/>
      <c r="FC52" s="99"/>
      <c r="FD52" s="99"/>
      <c r="FE52" s="99"/>
      <c r="FF52" s="99"/>
      <c r="FG52" s="99"/>
      <c r="FH52" s="99"/>
      <c r="FI52" s="99"/>
      <c r="FJ52" s="99"/>
      <c r="FK52" s="99"/>
      <c r="FL52" s="99"/>
      <c r="FM52" s="99"/>
      <c r="FN52" s="99"/>
      <c r="FO52" s="25" t="str">
        <f t="shared" si="6"/>
        <v>Brown's model4</v>
      </c>
    </row>
    <row r="53" spans="1:171">
      <c r="A53" s="145">
        <v>0.62915439804653683</v>
      </c>
      <c r="B53" s="141"/>
      <c r="C53" s="141"/>
      <c r="D53" s="141"/>
      <c r="E53" s="141"/>
      <c r="F53" s="124"/>
      <c r="G53" s="39" t="s">
        <v>44</v>
      </c>
      <c r="H53" s="40">
        <v>5</v>
      </c>
      <c r="I53" s="41">
        <v>590.74400000000014</v>
      </c>
      <c r="J53" s="41">
        <v>126.19599999999998</v>
      </c>
      <c r="K53" s="41">
        <v>73.710000000000008</v>
      </c>
      <c r="L53" s="41">
        <v>245.74300000000002</v>
      </c>
      <c r="M53" s="41">
        <v>257</v>
      </c>
      <c r="N53" s="41">
        <v>246</v>
      </c>
      <c r="O53" s="41">
        <v>142</v>
      </c>
      <c r="P53" s="41">
        <v>141</v>
      </c>
      <c r="Q53" s="41">
        <v>140</v>
      </c>
      <c r="R53" s="41">
        <v>269</v>
      </c>
      <c r="S53" s="41">
        <v>255</v>
      </c>
      <c r="T53" s="41">
        <v>268</v>
      </c>
      <c r="U53" s="41">
        <v>148</v>
      </c>
      <c r="V53" s="41">
        <v>141</v>
      </c>
      <c r="W53" s="41">
        <v>130</v>
      </c>
      <c r="X53" s="41">
        <v>256</v>
      </c>
      <c r="Y53" s="41">
        <v>263</v>
      </c>
      <c r="Z53" s="41">
        <v>278</v>
      </c>
      <c r="AA53" s="41">
        <v>133</v>
      </c>
      <c r="AB53" s="41">
        <v>133</v>
      </c>
      <c r="AC53" s="41">
        <v>148</v>
      </c>
      <c r="AD53" s="41">
        <v>273</v>
      </c>
      <c r="AE53" s="150"/>
      <c r="AF53" s="150"/>
      <c r="AG53" s="150">
        <f>J53</f>
        <v>126.19599999999998</v>
      </c>
      <c r="AH53" s="150">
        <f>ROUNDUP(($A53*K53)+((1-$A53)*AG53),0)</f>
        <v>94</v>
      </c>
      <c r="AI53" s="150">
        <f>ROUNDUP(($A53*L53)+((1-$A53)*AH53),0)</f>
        <v>190</v>
      </c>
      <c r="AJ53" s="150">
        <f>ROUNDUP(($A53*M53)+((1-$A53)*AI53),0)</f>
        <v>233</v>
      </c>
      <c r="AK53" s="150">
        <f>ROUNDUP(($A53*N53)+((1-$A53)*AJ53),0)</f>
        <v>242</v>
      </c>
      <c r="AL53" s="150">
        <f t="shared" si="26"/>
        <v>180</v>
      </c>
      <c r="AM53" s="150">
        <f t="shared" si="26"/>
        <v>156</v>
      </c>
      <c r="AN53" s="150">
        <f t="shared" si="26"/>
        <v>146</v>
      </c>
      <c r="AO53" s="150">
        <f t="shared" si="26"/>
        <v>224</v>
      </c>
      <c r="AP53" s="150">
        <f t="shared" si="26"/>
        <v>244</v>
      </c>
      <c r="AQ53" s="150">
        <f t="shared" si="26"/>
        <v>260</v>
      </c>
      <c r="AR53" s="150">
        <f t="shared" si="26"/>
        <v>190</v>
      </c>
      <c r="AS53" s="150">
        <f t="shared" si="26"/>
        <v>160</v>
      </c>
      <c r="AT53" s="150">
        <f t="shared" si="26"/>
        <v>142</v>
      </c>
      <c r="AU53" s="150">
        <f t="shared" si="26"/>
        <v>214</v>
      </c>
      <c r="AV53" s="150">
        <f t="shared" si="26"/>
        <v>245</v>
      </c>
      <c r="AW53" s="150">
        <f t="shared" si="26"/>
        <v>266</v>
      </c>
      <c r="AX53" s="150">
        <f t="shared" si="26"/>
        <v>183</v>
      </c>
      <c r="AY53" s="150">
        <f t="shared" si="26"/>
        <v>152</v>
      </c>
      <c r="AZ53" s="150">
        <f t="shared" si="26"/>
        <v>150</v>
      </c>
      <c r="BA53" s="148">
        <f t="shared" si="26"/>
        <v>228</v>
      </c>
      <c r="BB53" s="153">
        <f t="shared" si="27"/>
        <v>228</v>
      </c>
      <c r="BC53" s="153">
        <f t="shared" si="27"/>
        <v>228</v>
      </c>
      <c r="BD53" s="45" t="str">
        <f t="shared" si="20"/>
        <v/>
      </c>
      <c r="BE53" s="45" t="str">
        <f t="shared" si="20"/>
        <v/>
      </c>
      <c r="BF53" s="45">
        <f t="shared" si="20"/>
        <v>2754.7801959999974</v>
      </c>
      <c r="BG53" s="45">
        <f t="shared" si="20"/>
        <v>23025.938049000008</v>
      </c>
      <c r="BH53" s="45">
        <f t="shared" si="20"/>
        <v>4489</v>
      </c>
      <c r="BI53" s="45">
        <f t="shared" si="20"/>
        <v>169</v>
      </c>
      <c r="BJ53" s="45">
        <f t="shared" si="20"/>
        <v>10000</v>
      </c>
      <c r="BK53" s="45">
        <f t="shared" si="20"/>
        <v>1521</v>
      </c>
      <c r="BL53" s="45">
        <f t="shared" si="20"/>
        <v>256</v>
      </c>
      <c r="BM53" s="45">
        <f t="shared" si="20"/>
        <v>15129</v>
      </c>
      <c r="BN53" s="45">
        <f t="shared" si="20"/>
        <v>961</v>
      </c>
      <c r="BO53" s="45">
        <f t="shared" si="20"/>
        <v>576</v>
      </c>
      <c r="BP53" s="45">
        <f t="shared" si="20"/>
        <v>12544</v>
      </c>
      <c r="BQ53" s="45">
        <f t="shared" ref="BQ53:BY84" si="29">IF(AR53="","",(AR53-V53)^2)</f>
        <v>2401</v>
      </c>
      <c r="BR53" s="45">
        <f t="shared" si="29"/>
        <v>900</v>
      </c>
      <c r="BS53" s="45">
        <f t="shared" si="29"/>
        <v>12996</v>
      </c>
      <c r="BT53" s="45">
        <f t="shared" si="28"/>
        <v>2401</v>
      </c>
      <c r="BU53" s="45">
        <f t="shared" si="28"/>
        <v>1089</v>
      </c>
      <c r="BV53" s="45">
        <f t="shared" si="28"/>
        <v>17689</v>
      </c>
      <c r="BW53" s="45">
        <f t="shared" si="28"/>
        <v>2500</v>
      </c>
      <c r="BX53" s="45">
        <f t="shared" si="28"/>
        <v>16</v>
      </c>
      <c r="BY53" s="45">
        <f t="shared" si="28"/>
        <v>15129</v>
      </c>
      <c r="BZ53" s="92">
        <f t="shared" si="4"/>
        <v>79.544553001761216</v>
      </c>
      <c r="CA53" s="47">
        <f t="shared" si="5"/>
        <v>0.29137198901744032</v>
      </c>
      <c r="CB53" s="42">
        <f t="shared" si="17"/>
        <v>1</v>
      </c>
      <c r="CC53" s="42">
        <f t="shared" si="24"/>
        <v>2</v>
      </c>
      <c r="CD53" s="42">
        <f t="shared" si="24"/>
        <v>3</v>
      </c>
      <c r="CE53" s="42">
        <f t="shared" si="24"/>
        <v>4</v>
      </c>
      <c r="CF53" s="42">
        <f t="shared" si="24"/>
        <v>5</v>
      </c>
      <c r="CG53" s="42">
        <f t="shared" si="24"/>
        <v>6</v>
      </c>
      <c r="CH53" s="42">
        <f t="shared" si="24"/>
        <v>7</v>
      </c>
      <c r="CI53" s="42">
        <f t="shared" si="24"/>
        <v>8</v>
      </c>
      <c r="CJ53" s="42">
        <f t="shared" si="24"/>
        <v>9</v>
      </c>
      <c r="CK53" s="42">
        <f t="shared" si="24"/>
        <v>10</v>
      </c>
      <c r="CL53" s="42">
        <f t="shared" si="24"/>
        <v>11</v>
      </c>
      <c r="CM53" s="42">
        <f t="shared" si="24"/>
        <v>12</v>
      </c>
      <c r="CN53" s="42">
        <f t="shared" si="24"/>
        <v>13</v>
      </c>
      <c r="CO53" s="42">
        <f t="shared" si="24"/>
        <v>14</v>
      </c>
      <c r="CP53" s="42">
        <f t="shared" si="24"/>
        <v>15</v>
      </c>
      <c r="CQ53" s="42">
        <f t="shared" si="24"/>
        <v>16</v>
      </c>
      <c r="CR53" s="42">
        <f t="shared" si="23"/>
        <v>17</v>
      </c>
      <c r="CS53" s="42">
        <f t="shared" si="19"/>
        <v>18</v>
      </c>
      <c r="CT53" s="42">
        <f t="shared" si="19"/>
        <v>19</v>
      </c>
      <c r="CU53" s="42">
        <f t="shared" si="19"/>
        <v>20</v>
      </c>
      <c r="CV53" s="42">
        <f t="shared" si="19"/>
        <v>21</v>
      </c>
      <c r="CW53" s="42">
        <f t="shared" si="19"/>
        <v>22</v>
      </c>
      <c r="CX53" s="42">
        <f t="shared" si="19"/>
        <v>23</v>
      </c>
      <c r="CY53" s="42">
        <f t="shared" si="19"/>
        <v>24</v>
      </c>
      <c r="CZ53" s="42">
        <f t="shared" si="19"/>
        <v>25</v>
      </c>
      <c r="DA53" s="100"/>
      <c r="DB53" s="99"/>
      <c r="DC53" s="99"/>
      <c r="DD53" s="99"/>
      <c r="DE53" s="99"/>
      <c r="DF53" s="99"/>
      <c r="DG53" s="99"/>
      <c r="DH53" s="99"/>
      <c r="DI53" s="99"/>
      <c r="DJ53" s="99"/>
      <c r="DK53" s="99"/>
      <c r="DL53" s="99"/>
      <c r="DM53" s="99"/>
      <c r="DN53" s="99"/>
      <c r="DO53" s="99"/>
      <c r="DP53" s="99"/>
      <c r="DQ53" s="99"/>
      <c r="DR53" s="99"/>
      <c r="DS53" s="99"/>
      <c r="DT53" s="99"/>
      <c r="DU53" s="99"/>
      <c r="DV53" s="99"/>
      <c r="DW53" s="42"/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42"/>
      <c r="EK53" s="42"/>
      <c r="EL53" s="42"/>
      <c r="EM53" s="42"/>
      <c r="EN53" s="42"/>
      <c r="EO53" s="42"/>
      <c r="EP53" s="42"/>
      <c r="EQ53" s="42"/>
      <c r="ER53" s="42"/>
      <c r="ES53" s="100"/>
      <c r="ET53" s="99"/>
      <c r="EU53" s="99"/>
      <c r="EV53" s="99"/>
      <c r="EW53" s="99"/>
      <c r="EX53" s="99"/>
      <c r="EY53" s="99"/>
      <c r="EZ53" s="99"/>
      <c r="FA53" s="99"/>
      <c r="FB53" s="99"/>
      <c r="FC53" s="99"/>
      <c r="FD53" s="99"/>
      <c r="FE53" s="99"/>
      <c r="FF53" s="99"/>
      <c r="FG53" s="99"/>
      <c r="FH53" s="99"/>
      <c r="FI53" s="99"/>
      <c r="FJ53" s="99"/>
      <c r="FK53" s="99"/>
      <c r="FL53" s="99"/>
      <c r="FM53" s="99"/>
      <c r="FN53" s="99"/>
      <c r="FO53" s="25" t="str">
        <f t="shared" si="6"/>
        <v>Brown's model5</v>
      </c>
    </row>
    <row r="54" spans="1:171">
      <c r="A54" s="145">
        <v>0.10581024474655834</v>
      </c>
      <c r="B54" s="141"/>
      <c r="C54" s="141"/>
      <c r="D54" s="141"/>
      <c r="E54" s="141"/>
      <c r="F54" s="131"/>
      <c r="G54" s="39" t="s">
        <v>44</v>
      </c>
      <c r="H54" s="40">
        <v>6</v>
      </c>
      <c r="I54" s="41"/>
      <c r="J54" s="41"/>
      <c r="K54" s="41"/>
      <c r="L54" s="41"/>
      <c r="M54" s="41"/>
      <c r="N54" s="41"/>
      <c r="O54" s="41">
        <v>266.03799999999995</v>
      </c>
      <c r="P54" s="41">
        <v>232.57400000000007</v>
      </c>
      <c r="Q54" s="41">
        <v>115.23299999999999</v>
      </c>
      <c r="R54" s="41">
        <v>203.98799999999997</v>
      </c>
      <c r="S54" s="41">
        <v>180.53700000000001</v>
      </c>
      <c r="T54" s="41">
        <v>869.18299999999977</v>
      </c>
      <c r="U54" s="41">
        <v>1078.4489999999998</v>
      </c>
      <c r="V54" s="41">
        <v>1258.0669999999996</v>
      </c>
      <c r="W54" s="41">
        <v>1027.184</v>
      </c>
      <c r="X54" s="41">
        <v>624.39099999999996</v>
      </c>
      <c r="Y54" s="41">
        <v>1201.8340000000001</v>
      </c>
      <c r="Z54" s="41">
        <v>548.27800000000002</v>
      </c>
      <c r="AA54" s="41">
        <v>1219.8130000000006</v>
      </c>
      <c r="AB54" s="41">
        <v>393.93799999999987</v>
      </c>
      <c r="AC54" s="41">
        <v>240.81100000000015</v>
      </c>
      <c r="AD54" s="41">
        <v>1097.4179999999999</v>
      </c>
      <c r="AE54" s="150"/>
      <c r="AF54" s="150"/>
      <c r="AG54" s="150"/>
      <c r="AH54" s="150">
        <f>K54</f>
        <v>0</v>
      </c>
      <c r="AI54" s="150">
        <f>ROUNDUP(($A54*L54)+((1-$A54)*AH54),0)</f>
        <v>0</v>
      </c>
      <c r="AJ54" s="150">
        <f>ROUNDUP(($A54*M54)+((1-$A54)*AI54),0)</f>
        <v>0</v>
      </c>
      <c r="AK54" s="150">
        <f>ROUNDUP(($A54*N54)+((1-$A54)*AJ54),0)</f>
        <v>0</v>
      </c>
      <c r="AL54" s="150">
        <f t="shared" si="26"/>
        <v>29</v>
      </c>
      <c r="AM54" s="150">
        <f t="shared" si="26"/>
        <v>51</v>
      </c>
      <c r="AN54" s="150">
        <f t="shared" si="26"/>
        <v>58</v>
      </c>
      <c r="AO54" s="150">
        <f t="shared" si="26"/>
        <v>74</v>
      </c>
      <c r="AP54" s="150">
        <f t="shared" si="26"/>
        <v>86</v>
      </c>
      <c r="AQ54" s="150">
        <f t="shared" si="26"/>
        <v>169</v>
      </c>
      <c r="AR54" s="150">
        <f t="shared" si="26"/>
        <v>266</v>
      </c>
      <c r="AS54" s="150">
        <f t="shared" si="26"/>
        <v>371</v>
      </c>
      <c r="AT54" s="150">
        <f t="shared" si="26"/>
        <v>441</v>
      </c>
      <c r="AU54" s="150">
        <f t="shared" si="26"/>
        <v>461</v>
      </c>
      <c r="AV54" s="150">
        <f t="shared" si="26"/>
        <v>540</v>
      </c>
      <c r="AW54" s="150">
        <f t="shared" si="26"/>
        <v>541</v>
      </c>
      <c r="AX54" s="150">
        <f t="shared" si="26"/>
        <v>613</v>
      </c>
      <c r="AY54" s="150">
        <f t="shared" si="26"/>
        <v>590</v>
      </c>
      <c r="AZ54" s="150">
        <f t="shared" si="26"/>
        <v>554</v>
      </c>
      <c r="BA54" s="148">
        <f t="shared" si="26"/>
        <v>612</v>
      </c>
      <c r="BB54" s="153">
        <f t="shared" si="27"/>
        <v>612</v>
      </c>
      <c r="BC54" s="153">
        <f t="shared" si="27"/>
        <v>612</v>
      </c>
      <c r="BD54" s="45" t="str">
        <f t="shared" ref="BD54:BP73" si="30">IF(AE54="","",(AE54-I54)^2)</f>
        <v/>
      </c>
      <c r="BE54" s="45" t="str">
        <f t="shared" si="30"/>
        <v/>
      </c>
      <c r="BF54" s="45" t="str">
        <f t="shared" si="30"/>
        <v/>
      </c>
      <c r="BG54" s="45">
        <f t="shared" si="30"/>
        <v>0</v>
      </c>
      <c r="BH54" s="45">
        <f t="shared" si="30"/>
        <v>0</v>
      </c>
      <c r="BI54" s="45">
        <f t="shared" si="30"/>
        <v>0</v>
      </c>
      <c r="BJ54" s="45">
        <f t="shared" si="30"/>
        <v>70776.21744399998</v>
      </c>
      <c r="BK54" s="45">
        <f t="shared" si="30"/>
        <v>41442.37347600003</v>
      </c>
      <c r="BL54" s="45">
        <f t="shared" si="30"/>
        <v>4125.8782889999984</v>
      </c>
      <c r="BM54" s="45">
        <f t="shared" si="30"/>
        <v>21312.496143999993</v>
      </c>
      <c r="BN54" s="45">
        <f t="shared" si="30"/>
        <v>11350.132369000001</v>
      </c>
      <c r="BO54" s="45">
        <f t="shared" si="30"/>
        <v>613375.61148899968</v>
      </c>
      <c r="BP54" s="45">
        <f t="shared" si="30"/>
        <v>827097.48360099969</v>
      </c>
      <c r="BQ54" s="45">
        <f t="shared" si="29"/>
        <v>984196.9324889991</v>
      </c>
      <c r="BR54" s="45">
        <f t="shared" si="29"/>
        <v>430577.44185599993</v>
      </c>
      <c r="BS54" s="45">
        <f t="shared" si="29"/>
        <v>33632.258880999987</v>
      </c>
      <c r="BT54" s="45">
        <f t="shared" si="28"/>
        <v>548835.01555600006</v>
      </c>
      <c r="BU54" s="45">
        <f t="shared" si="28"/>
        <v>68.525284000000326</v>
      </c>
      <c r="BV54" s="45">
        <f t="shared" si="28"/>
        <v>460787.08896900073</v>
      </c>
      <c r="BW54" s="45">
        <f t="shared" si="28"/>
        <v>47988.159844000053</v>
      </c>
      <c r="BX54" s="45">
        <f t="shared" si="28"/>
        <v>121932.9577209999</v>
      </c>
      <c r="BY54" s="45">
        <f t="shared" si="28"/>
        <v>295303.1227239999</v>
      </c>
      <c r="BZ54" s="92">
        <f t="shared" si="4"/>
        <v>487.35600821576008</v>
      </c>
      <c r="CA54" s="47">
        <f t="shared" si="5"/>
        <v>0.44409332470923579</v>
      </c>
      <c r="CB54" s="42" t="str">
        <f t="shared" si="17"/>
        <v/>
      </c>
      <c r="CC54" s="42" t="str">
        <f t="shared" si="24"/>
        <v/>
      </c>
      <c r="CD54" s="42" t="str">
        <f t="shared" si="24"/>
        <v/>
      </c>
      <c r="CE54" s="42" t="str">
        <f t="shared" si="24"/>
        <v/>
      </c>
      <c r="CF54" s="42" t="str">
        <f t="shared" si="24"/>
        <v/>
      </c>
      <c r="CG54" s="42" t="str">
        <f t="shared" si="24"/>
        <v/>
      </c>
      <c r="CH54" s="42">
        <f t="shared" si="24"/>
        <v>1</v>
      </c>
      <c r="CI54" s="42">
        <f t="shared" si="24"/>
        <v>2</v>
      </c>
      <c r="CJ54" s="42">
        <f t="shared" si="24"/>
        <v>3</v>
      </c>
      <c r="CK54" s="42">
        <f t="shared" si="24"/>
        <v>4</v>
      </c>
      <c r="CL54" s="42">
        <f t="shared" si="24"/>
        <v>5</v>
      </c>
      <c r="CM54" s="42">
        <f t="shared" si="24"/>
        <v>6</v>
      </c>
      <c r="CN54" s="42">
        <f t="shared" si="24"/>
        <v>7</v>
      </c>
      <c r="CO54" s="42">
        <f t="shared" si="24"/>
        <v>8</v>
      </c>
      <c r="CP54" s="42">
        <f t="shared" si="24"/>
        <v>9</v>
      </c>
      <c r="CQ54" s="42">
        <f t="shared" si="24"/>
        <v>10</v>
      </c>
      <c r="CR54" s="42">
        <f t="shared" si="23"/>
        <v>11</v>
      </c>
      <c r="CS54" s="42">
        <f t="shared" si="19"/>
        <v>12</v>
      </c>
      <c r="CT54" s="42">
        <f t="shared" si="19"/>
        <v>13</v>
      </c>
      <c r="CU54" s="42">
        <f t="shared" si="19"/>
        <v>14</v>
      </c>
      <c r="CV54" s="42">
        <f t="shared" si="19"/>
        <v>15</v>
      </c>
      <c r="CW54" s="42">
        <f t="shared" si="19"/>
        <v>16</v>
      </c>
      <c r="CX54" s="42">
        <f t="shared" si="19"/>
        <v>17</v>
      </c>
      <c r="CY54" s="42">
        <f t="shared" si="19"/>
        <v>18</v>
      </c>
      <c r="CZ54" s="42">
        <f t="shared" si="19"/>
        <v>19</v>
      </c>
      <c r="DA54" s="100"/>
      <c r="DB54" s="99"/>
      <c r="DC54" s="99"/>
      <c r="DD54" s="99"/>
      <c r="DE54" s="99"/>
      <c r="DF54" s="99"/>
      <c r="DG54" s="99"/>
      <c r="DH54" s="99"/>
      <c r="DI54" s="99"/>
      <c r="DJ54" s="99"/>
      <c r="DK54" s="99"/>
      <c r="DL54" s="99"/>
      <c r="DM54" s="99"/>
      <c r="DN54" s="99"/>
      <c r="DO54" s="99"/>
      <c r="DP54" s="99"/>
      <c r="DQ54" s="99"/>
      <c r="DR54" s="99"/>
      <c r="DS54" s="99"/>
      <c r="DT54" s="99"/>
      <c r="DU54" s="99"/>
      <c r="DV54" s="99"/>
      <c r="DW54" s="42"/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42"/>
      <c r="EK54" s="42"/>
      <c r="EL54" s="42"/>
      <c r="EM54" s="42"/>
      <c r="EN54" s="42"/>
      <c r="EO54" s="42"/>
      <c r="EP54" s="42"/>
      <c r="EQ54" s="42"/>
      <c r="ER54" s="42"/>
      <c r="ES54" s="100"/>
      <c r="ET54" s="99"/>
      <c r="EU54" s="99"/>
      <c r="EV54" s="99"/>
      <c r="EW54" s="99"/>
      <c r="EX54" s="99"/>
      <c r="EY54" s="99"/>
      <c r="EZ54" s="99"/>
      <c r="FA54" s="99"/>
      <c r="FB54" s="99"/>
      <c r="FC54" s="99"/>
      <c r="FD54" s="99"/>
      <c r="FE54" s="99"/>
      <c r="FF54" s="99"/>
      <c r="FG54" s="99"/>
      <c r="FH54" s="99"/>
      <c r="FI54" s="99"/>
      <c r="FJ54" s="99"/>
      <c r="FK54" s="99"/>
      <c r="FL54" s="99"/>
      <c r="FM54" s="99"/>
      <c r="FN54" s="99"/>
      <c r="FO54" s="25" t="str">
        <f t="shared" si="6"/>
        <v>Brown's model6</v>
      </c>
    </row>
    <row r="55" spans="1:171">
      <c r="A55" s="145">
        <v>0.21632912842563107</v>
      </c>
      <c r="B55" s="141"/>
      <c r="C55" s="141"/>
      <c r="D55" s="141"/>
      <c r="E55" s="141"/>
      <c r="F55" s="124"/>
      <c r="G55" s="39" t="s">
        <v>44</v>
      </c>
      <c r="H55" s="40">
        <v>7</v>
      </c>
      <c r="I55" s="41">
        <v>198</v>
      </c>
      <c r="J55" s="41">
        <v>186</v>
      </c>
      <c r="K55" s="41">
        <v>177.429</v>
      </c>
      <c r="L55" s="41">
        <v>157</v>
      </c>
      <c r="M55" s="41">
        <v>126.622</v>
      </c>
      <c r="N55" s="41">
        <v>177.429</v>
      </c>
      <c r="O55" s="41">
        <v>157</v>
      </c>
      <c r="P55" s="41">
        <v>126.622</v>
      </c>
      <c r="Q55" s="41">
        <v>177.429</v>
      </c>
      <c r="R55" s="41">
        <v>157</v>
      </c>
      <c r="S55" s="41">
        <v>126.622</v>
      </c>
      <c r="T55" s="41">
        <v>177.429</v>
      </c>
      <c r="U55" s="41">
        <v>157</v>
      </c>
      <c r="V55" s="41">
        <v>126.622</v>
      </c>
      <c r="W55" s="41">
        <v>128.38799999999998</v>
      </c>
      <c r="X55" s="41">
        <v>203.08599999999998</v>
      </c>
      <c r="Y55" s="41">
        <v>177.429</v>
      </c>
      <c r="Z55" s="41">
        <v>157</v>
      </c>
      <c r="AA55" s="41">
        <v>126.622</v>
      </c>
      <c r="AB55" s="41">
        <v>165</v>
      </c>
      <c r="AC55" s="41">
        <v>121.236</v>
      </c>
      <c r="AD55" s="41">
        <v>127.90299999999999</v>
      </c>
      <c r="AE55" s="150"/>
      <c r="AF55" s="150"/>
      <c r="AG55" s="150"/>
      <c r="AH55" s="150"/>
      <c r="AI55" s="150"/>
      <c r="AJ55" s="150">
        <f>M55</f>
        <v>126.622</v>
      </c>
      <c r="AK55" s="150">
        <f>ROUNDUP(($A55*N55)+((1-$A55)*AJ55),0)</f>
        <v>138</v>
      </c>
      <c r="AL55" s="150">
        <f t="shared" si="26"/>
        <v>143</v>
      </c>
      <c r="AM55" s="150">
        <f t="shared" si="26"/>
        <v>140</v>
      </c>
      <c r="AN55" s="150">
        <f t="shared" si="26"/>
        <v>149</v>
      </c>
      <c r="AO55" s="150">
        <f t="shared" si="26"/>
        <v>151</v>
      </c>
      <c r="AP55" s="150">
        <f t="shared" si="26"/>
        <v>146</v>
      </c>
      <c r="AQ55" s="150">
        <f t="shared" si="26"/>
        <v>153</v>
      </c>
      <c r="AR55" s="150">
        <f t="shared" si="26"/>
        <v>154</v>
      </c>
      <c r="AS55" s="150">
        <f t="shared" si="26"/>
        <v>149</v>
      </c>
      <c r="AT55" s="150">
        <f t="shared" si="26"/>
        <v>145</v>
      </c>
      <c r="AU55" s="150">
        <f t="shared" si="26"/>
        <v>158</v>
      </c>
      <c r="AV55" s="150">
        <f t="shared" si="26"/>
        <v>163</v>
      </c>
      <c r="AW55" s="150">
        <f t="shared" si="26"/>
        <v>162</v>
      </c>
      <c r="AX55" s="150">
        <f t="shared" si="26"/>
        <v>155</v>
      </c>
      <c r="AY55" s="150">
        <f t="shared" si="26"/>
        <v>158</v>
      </c>
      <c r="AZ55" s="150">
        <f t="shared" si="26"/>
        <v>151</v>
      </c>
      <c r="BA55" s="148">
        <f t="shared" si="26"/>
        <v>147</v>
      </c>
      <c r="BB55" s="153">
        <f t="shared" si="27"/>
        <v>147</v>
      </c>
      <c r="BC55" s="153">
        <f t="shared" si="27"/>
        <v>147</v>
      </c>
      <c r="BD55" s="45" t="str">
        <f t="shared" si="30"/>
        <v/>
      </c>
      <c r="BE55" s="45" t="str">
        <f t="shared" si="30"/>
        <v/>
      </c>
      <c r="BF55" s="45" t="str">
        <f t="shared" si="30"/>
        <v/>
      </c>
      <c r="BG55" s="45" t="str">
        <f t="shared" si="30"/>
        <v/>
      </c>
      <c r="BH55" s="45" t="str">
        <f t="shared" si="30"/>
        <v/>
      </c>
      <c r="BI55" s="45">
        <f t="shared" si="30"/>
        <v>2581.3512490000003</v>
      </c>
      <c r="BJ55" s="45">
        <f t="shared" si="30"/>
        <v>361</v>
      </c>
      <c r="BK55" s="45">
        <f t="shared" si="30"/>
        <v>268.23888399999998</v>
      </c>
      <c r="BL55" s="45">
        <f t="shared" si="30"/>
        <v>1400.9300410000001</v>
      </c>
      <c r="BM55" s="45">
        <f t="shared" si="30"/>
        <v>64</v>
      </c>
      <c r="BN55" s="45">
        <f t="shared" si="30"/>
        <v>594.28688399999999</v>
      </c>
      <c r="BO55" s="45">
        <f t="shared" si="30"/>
        <v>987.78204100000016</v>
      </c>
      <c r="BP55" s="45">
        <f t="shared" si="30"/>
        <v>16</v>
      </c>
      <c r="BQ55" s="45">
        <f t="shared" si="29"/>
        <v>749.55488400000002</v>
      </c>
      <c r="BR55" s="45">
        <f t="shared" si="29"/>
        <v>424.85454400000094</v>
      </c>
      <c r="BS55" s="45">
        <f t="shared" si="29"/>
        <v>3373.9833959999983</v>
      </c>
      <c r="BT55" s="45">
        <f t="shared" si="28"/>
        <v>377.48604100000006</v>
      </c>
      <c r="BU55" s="45">
        <f t="shared" si="28"/>
        <v>36</v>
      </c>
      <c r="BV55" s="45">
        <f t="shared" si="28"/>
        <v>1251.6028839999999</v>
      </c>
      <c r="BW55" s="45">
        <f t="shared" si="28"/>
        <v>100</v>
      </c>
      <c r="BX55" s="45">
        <f t="shared" si="28"/>
        <v>1351.5916959999997</v>
      </c>
      <c r="BY55" s="45">
        <f t="shared" si="28"/>
        <v>533.47140900000034</v>
      </c>
      <c r="BZ55" s="92">
        <f t="shared" si="4"/>
        <v>29.177079998438742</v>
      </c>
      <c r="CA55" s="47">
        <f t="shared" si="5"/>
        <v>0.22811880877257565</v>
      </c>
      <c r="CB55" s="42">
        <f t="shared" si="17"/>
        <v>1</v>
      </c>
      <c r="CC55" s="42">
        <f t="shared" si="24"/>
        <v>2</v>
      </c>
      <c r="CD55" s="42">
        <f t="shared" si="24"/>
        <v>3</v>
      </c>
      <c r="CE55" s="42">
        <f t="shared" si="24"/>
        <v>4</v>
      </c>
      <c r="CF55" s="42">
        <f t="shared" si="24"/>
        <v>5</v>
      </c>
      <c r="CG55" s="42">
        <f t="shared" si="24"/>
        <v>6</v>
      </c>
      <c r="CH55" s="42">
        <f t="shared" si="24"/>
        <v>7</v>
      </c>
      <c r="CI55" s="42">
        <f t="shared" si="24"/>
        <v>8</v>
      </c>
      <c r="CJ55" s="42">
        <f t="shared" si="24"/>
        <v>9</v>
      </c>
      <c r="CK55" s="42">
        <f t="shared" si="24"/>
        <v>10</v>
      </c>
      <c r="CL55" s="42">
        <f t="shared" si="24"/>
        <v>11</v>
      </c>
      <c r="CM55" s="42">
        <f t="shared" si="24"/>
        <v>12</v>
      </c>
      <c r="CN55" s="42">
        <f t="shared" si="24"/>
        <v>13</v>
      </c>
      <c r="CO55" s="42">
        <f t="shared" si="24"/>
        <v>14</v>
      </c>
      <c r="CP55" s="42">
        <f t="shared" si="24"/>
        <v>15</v>
      </c>
      <c r="CQ55" s="42">
        <f t="shared" si="24"/>
        <v>16</v>
      </c>
      <c r="CR55" s="42">
        <f t="shared" si="23"/>
        <v>17</v>
      </c>
      <c r="CS55" s="42">
        <f t="shared" si="19"/>
        <v>18</v>
      </c>
      <c r="CT55" s="42">
        <f t="shared" si="19"/>
        <v>19</v>
      </c>
      <c r="CU55" s="42">
        <f t="shared" si="19"/>
        <v>20</v>
      </c>
      <c r="CV55" s="42">
        <f t="shared" si="19"/>
        <v>21</v>
      </c>
      <c r="CW55" s="42">
        <f t="shared" si="19"/>
        <v>22</v>
      </c>
      <c r="CX55" s="42">
        <f t="shared" si="19"/>
        <v>23</v>
      </c>
      <c r="CY55" s="42">
        <f t="shared" si="19"/>
        <v>24</v>
      </c>
      <c r="CZ55" s="42">
        <f t="shared" si="19"/>
        <v>25</v>
      </c>
      <c r="DA55" s="100"/>
      <c r="DB55" s="99"/>
      <c r="DC55" s="99"/>
      <c r="DD55" s="99"/>
      <c r="DE55" s="99"/>
      <c r="DF55" s="99"/>
      <c r="DG55" s="99"/>
      <c r="DH55" s="99"/>
      <c r="DI55" s="99"/>
      <c r="DJ55" s="99"/>
      <c r="DK55" s="99"/>
      <c r="DL55" s="99"/>
      <c r="DM55" s="99"/>
      <c r="DN55" s="99"/>
      <c r="DO55" s="99"/>
      <c r="DP55" s="99"/>
      <c r="DQ55" s="99"/>
      <c r="DR55" s="99"/>
      <c r="DS55" s="99"/>
      <c r="DT55" s="99"/>
      <c r="DU55" s="99"/>
      <c r="DV55" s="99"/>
      <c r="DW55" s="42"/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42"/>
      <c r="EK55" s="42"/>
      <c r="EL55" s="42"/>
      <c r="EM55" s="42"/>
      <c r="EN55" s="42"/>
      <c r="EO55" s="42"/>
      <c r="EP55" s="42"/>
      <c r="EQ55" s="42"/>
      <c r="ER55" s="42"/>
      <c r="ES55" s="100"/>
      <c r="ET55" s="99"/>
      <c r="EU55" s="99"/>
      <c r="EV55" s="99"/>
      <c r="EW55" s="99"/>
      <c r="EX55" s="99"/>
      <c r="EY55" s="99"/>
      <c r="EZ55" s="99"/>
      <c r="FA55" s="99"/>
      <c r="FB55" s="99"/>
      <c r="FC55" s="99"/>
      <c r="FD55" s="99"/>
      <c r="FE55" s="99"/>
      <c r="FF55" s="99"/>
      <c r="FG55" s="99"/>
      <c r="FH55" s="99"/>
      <c r="FI55" s="99"/>
      <c r="FJ55" s="99"/>
      <c r="FK55" s="99"/>
      <c r="FL55" s="99"/>
      <c r="FM55" s="99"/>
      <c r="FN55" s="99"/>
      <c r="FO55" s="25" t="str">
        <f t="shared" si="6"/>
        <v>Brown's model7</v>
      </c>
    </row>
    <row r="56" spans="1:171">
      <c r="A56" s="145">
        <v>0.79617726937610833</v>
      </c>
      <c r="B56" s="141"/>
      <c r="C56" s="141"/>
      <c r="D56" s="141"/>
      <c r="E56" s="141"/>
      <c r="F56" s="131"/>
      <c r="G56" s="39" t="s">
        <v>44</v>
      </c>
      <c r="H56" s="40">
        <v>8</v>
      </c>
      <c r="I56" s="41">
        <v>6.597999999999999</v>
      </c>
      <c r="J56" s="41">
        <v>14.509</v>
      </c>
      <c r="K56" s="41">
        <v>34</v>
      </c>
      <c r="L56" s="41">
        <v>36.616999999999976</v>
      </c>
      <c r="M56" s="41">
        <v>48.298000000000044</v>
      </c>
      <c r="N56" s="41">
        <v>50.913000000000054</v>
      </c>
      <c r="O56" s="41">
        <v>169.95999999999992</v>
      </c>
      <c r="P56" s="41">
        <v>158.32199999999997</v>
      </c>
      <c r="Q56" s="41">
        <v>169.77099999999999</v>
      </c>
      <c r="R56" s="41">
        <v>180</v>
      </c>
      <c r="S56" s="41">
        <v>127</v>
      </c>
      <c r="T56" s="41">
        <v>143.11099999999993</v>
      </c>
      <c r="U56" s="41">
        <v>167</v>
      </c>
      <c r="V56" s="41">
        <v>150</v>
      </c>
      <c r="W56" s="41">
        <v>199.79</v>
      </c>
      <c r="X56" s="41">
        <v>203.78579999999999</v>
      </c>
      <c r="Y56" s="41">
        <v>216.01294799999999</v>
      </c>
      <c r="Z56" s="41">
        <v>233.29398384000001</v>
      </c>
      <c r="AA56" s="41">
        <v>235.6269236784</v>
      </c>
      <c r="AB56" s="41">
        <v>245.05200062553601</v>
      </c>
      <c r="AC56" s="41">
        <v>259.75512066306817</v>
      </c>
      <c r="AD56" s="41">
        <v>283.13308152274431</v>
      </c>
      <c r="AE56" s="150"/>
      <c r="AF56" s="150"/>
      <c r="AG56" s="150"/>
      <c r="AH56" s="150"/>
      <c r="AI56" s="150"/>
      <c r="AJ56" s="150"/>
      <c r="AK56" s="150"/>
      <c r="AL56" s="150"/>
      <c r="AM56" s="150">
        <f>P56</f>
        <v>158.32199999999997</v>
      </c>
      <c r="AN56" s="150">
        <f t="shared" si="26"/>
        <v>168</v>
      </c>
      <c r="AO56" s="150">
        <f t="shared" si="26"/>
        <v>178</v>
      </c>
      <c r="AP56" s="150">
        <f t="shared" si="26"/>
        <v>138</v>
      </c>
      <c r="AQ56" s="150">
        <f t="shared" si="26"/>
        <v>143</v>
      </c>
      <c r="AR56" s="150">
        <f t="shared" si="26"/>
        <v>163</v>
      </c>
      <c r="AS56" s="150">
        <f t="shared" si="26"/>
        <v>153</v>
      </c>
      <c r="AT56" s="150">
        <f t="shared" si="26"/>
        <v>191</v>
      </c>
      <c r="AU56" s="150">
        <f t="shared" si="26"/>
        <v>202</v>
      </c>
      <c r="AV56" s="150">
        <f t="shared" si="26"/>
        <v>214</v>
      </c>
      <c r="AW56" s="150">
        <f t="shared" si="26"/>
        <v>230</v>
      </c>
      <c r="AX56" s="150">
        <f t="shared" si="26"/>
        <v>235</v>
      </c>
      <c r="AY56" s="150">
        <f t="shared" si="26"/>
        <v>244</v>
      </c>
      <c r="AZ56" s="150">
        <f t="shared" si="26"/>
        <v>257</v>
      </c>
      <c r="BA56" s="148">
        <f t="shared" si="26"/>
        <v>278</v>
      </c>
      <c r="BB56" s="153">
        <f t="shared" si="27"/>
        <v>278</v>
      </c>
      <c r="BC56" s="153">
        <f t="shared" si="27"/>
        <v>278</v>
      </c>
      <c r="BD56" s="45" t="str">
        <f t="shared" si="30"/>
        <v/>
      </c>
      <c r="BE56" s="45" t="str">
        <f t="shared" si="30"/>
        <v/>
      </c>
      <c r="BF56" s="45" t="str">
        <f t="shared" si="30"/>
        <v/>
      </c>
      <c r="BG56" s="45" t="str">
        <f t="shared" si="30"/>
        <v/>
      </c>
      <c r="BH56" s="45" t="str">
        <f t="shared" si="30"/>
        <v/>
      </c>
      <c r="BI56" s="45" t="str">
        <f t="shared" si="30"/>
        <v/>
      </c>
      <c r="BJ56" s="45" t="str">
        <f t="shared" si="30"/>
        <v/>
      </c>
      <c r="BK56" s="45" t="str">
        <f t="shared" si="30"/>
        <v/>
      </c>
      <c r="BL56" s="45">
        <f t="shared" si="30"/>
        <v>131.07960100000028</v>
      </c>
      <c r="BM56" s="45">
        <f t="shared" si="30"/>
        <v>144</v>
      </c>
      <c r="BN56" s="45">
        <f t="shared" si="30"/>
        <v>2601</v>
      </c>
      <c r="BO56" s="45">
        <f t="shared" si="30"/>
        <v>26.122320999999317</v>
      </c>
      <c r="BP56" s="45">
        <f t="shared" si="30"/>
        <v>576</v>
      </c>
      <c r="BQ56" s="45">
        <f t="shared" si="29"/>
        <v>169</v>
      </c>
      <c r="BR56" s="45">
        <f t="shared" si="29"/>
        <v>2189.3040999999994</v>
      </c>
      <c r="BS56" s="45">
        <f t="shared" si="29"/>
        <v>163.47668163999987</v>
      </c>
      <c r="BT56" s="45">
        <f t="shared" si="28"/>
        <v>196.36271165070383</v>
      </c>
      <c r="BU56" s="45">
        <f t="shared" si="28"/>
        <v>372.25781241818152</v>
      </c>
      <c r="BV56" s="45">
        <f t="shared" si="28"/>
        <v>31.662270082538633</v>
      </c>
      <c r="BW56" s="45">
        <f t="shared" si="28"/>
        <v>101.04271657577634</v>
      </c>
      <c r="BX56" s="45">
        <f t="shared" si="28"/>
        <v>248.22382710783759</v>
      </c>
      <c r="BY56" s="45">
        <f t="shared" si="28"/>
        <v>682.93794987439981</v>
      </c>
      <c r="BZ56" s="92">
        <f t="shared" si="4"/>
        <v>23.349013425700267</v>
      </c>
      <c r="CA56" s="47">
        <f t="shared" si="5"/>
        <v>8.2466567665370541E-2</v>
      </c>
      <c r="CB56" s="42">
        <f t="shared" si="17"/>
        <v>1</v>
      </c>
      <c r="CC56" s="42">
        <f t="shared" si="24"/>
        <v>2</v>
      </c>
      <c r="CD56" s="42">
        <f t="shared" si="24"/>
        <v>3</v>
      </c>
      <c r="CE56" s="42">
        <f t="shared" si="24"/>
        <v>4</v>
      </c>
      <c r="CF56" s="42">
        <f t="shared" si="24"/>
        <v>5</v>
      </c>
      <c r="CG56" s="42">
        <f t="shared" si="24"/>
        <v>6</v>
      </c>
      <c r="CH56" s="42">
        <f t="shared" si="24"/>
        <v>7</v>
      </c>
      <c r="CI56" s="42">
        <f t="shared" si="24"/>
        <v>8</v>
      </c>
      <c r="CJ56" s="42">
        <f t="shared" si="24"/>
        <v>9</v>
      </c>
      <c r="CK56" s="42">
        <f t="shared" si="24"/>
        <v>10</v>
      </c>
      <c r="CL56" s="42">
        <f t="shared" si="24"/>
        <v>11</v>
      </c>
      <c r="CM56" s="42">
        <f t="shared" si="24"/>
        <v>12</v>
      </c>
      <c r="CN56" s="42">
        <f t="shared" si="24"/>
        <v>13</v>
      </c>
      <c r="CO56" s="42">
        <f t="shared" si="24"/>
        <v>14</v>
      </c>
      <c r="CP56" s="42">
        <f t="shared" si="24"/>
        <v>15</v>
      </c>
      <c r="CQ56" s="42">
        <f t="shared" si="24"/>
        <v>16</v>
      </c>
      <c r="CR56" s="42">
        <f t="shared" si="23"/>
        <v>17</v>
      </c>
      <c r="CS56" s="42">
        <f t="shared" si="19"/>
        <v>18</v>
      </c>
      <c r="CT56" s="42">
        <f t="shared" si="19"/>
        <v>19</v>
      </c>
      <c r="CU56" s="42">
        <f t="shared" si="19"/>
        <v>20</v>
      </c>
      <c r="CV56" s="42">
        <f t="shared" si="19"/>
        <v>21</v>
      </c>
      <c r="CW56" s="42">
        <f t="shared" si="19"/>
        <v>22</v>
      </c>
      <c r="CX56" s="42">
        <f t="shared" si="19"/>
        <v>23</v>
      </c>
      <c r="CY56" s="42">
        <f t="shared" si="19"/>
        <v>24</v>
      </c>
      <c r="CZ56" s="42">
        <f t="shared" si="19"/>
        <v>25</v>
      </c>
      <c r="DA56" s="100"/>
      <c r="DB56" s="99"/>
      <c r="DC56" s="99"/>
      <c r="DD56" s="99"/>
      <c r="DE56" s="99"/>
      <c r="DF56" s="99"/>
      <c r="DG56" s="99"/>
      <c r="DH56" s="99"/>
      <c r="DI56" s="99"/>
      <c r="DJ56" s="99"/>
      <c r="DK56" s="99"/>
      <c r="DL56" s="99"/>
      <c r="DM56" s="99"/>
      <c r="DN56" s="99"/>
      <c r="DO56" s="99"/>
      <c r="DP56" s="99"/>
      <c r="DQ56" s="99"/>
      <c r="DR56" s="99"/>
      <c r="DS56" s="99"/>
      <c r="DT56" s="99"/>
      <c r="DU56" s="99"/>
      <c r="DV56" s="99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42"/>
      <c r="EK56" s="42"/>
      <c r="EL56" s="42"/>
      <c r="EM56" s="42"/>
      <c r="EN56" s="42"/>
      <c r="EO56" s="42"/>
      <c r="EP56" s="42"/>
      <c r="EQ56" s="42"/>
      <c r="ER56" s="42"/>
      <c r="ES56" s="100"/>
      <c r="ET56" s="99"/>
      <c r="EU56" s="99"/>
      <c r="EV56" s="99"/>
      <c r="EW56" s="99"/>
      <c r="EX56" s="99"/>
      <c r="EY56" s="99"/>
      <c r="EZ56" s="99"/>
      <c r="FA56" s="99"/>
      <c r="FB56" s="99"/>
      <c r="FC56" s="99"/>
      <c r="FD56" s="99"/>
      <c r="FE56" s="99"/>
      <c r="FF56" s="99"/>
      <c r="FG56" s="99"/>
      <c r="FH56" s="99"/>
      <c r="FI56" s="99"/>
      <c r="FJ56" s="99"/>
      <c r="FK56" s="99"/>
      <c r="FL56" s="99"/>
      <c r="FM56" s="99"/>
      <c r="FN56" s="99"/>
      <c r="FO56" s="25" t="str">
        <f t="shared" si="6"/>
        <v>Brown's model8</v>
      </c>
    </row>
    <row r="57" spans="1:171" ht="13.5" thickBot="1">
      <c r="A57" s="132">
        <v>0.24542912106247186</v>
      </c>
      <c r="B57" s="133"/>
      <c r="C57" s="133"/>
      <c r="D57" s="133"/>
      <c r="E57" s="133"/>
      <c r="F57" s="135"/>
      <c r="G57" s="112" t="s">
        <v>44</v>
      </c>
      <c r="H57" s="96">
        <v>9</v>
      </c>
      <c r="I57" s="95">
        <v>798</v>
      </c>
      <c r="J57" s="95">
        <v>823</v>
      </c>
      <c r="K57" s="95">
        <v>839</v>
      </c>
      <c r="L57" s="41">
        <v>889.34</v>
      </c>
      <c r="M57" s="41">
        <v>969.38060000000007</v>
      </c>
      <c r="N57" s="41">
        <v>1017.8496300000002</v>
      </c>
      <c r="O57" s="41">
        <v>1109.4560967000002</v>
      </c>
      <c r="P57" s="41">
        <v>1176.0234625020003</v>
      </c>
      <c r="Q57" s="41">
        <v>1223.0644010020803</v>
      </c>
      <c r="R57" s="41">
        <v>1345.3708411022885</v>
      </c>
      <c r="S57" s="41">
        <v>1426.093091568426</v>
      </c>
      <c r="T57" s="41">
        <v>1483.1368152311632</v>
      </c>
      <c r="U57" s="41">
        <v>1631.4504967542796</v>
      </c>
      <c r="V57" s="41">
        <v>1761.966536494622</v>
      </c>
      <c r="W57" s="41">
        <v>1902.9238594141918</v>
      </c>
      <c r="X57" s="41">
        <v>1940.9823366024757</v>
      </c>
      <c r="Y57" s="41">
        <v>2115.6707468966988</v>
      </c>
      <c r="Z57" s="41">
        <v>2200.297576772567</v>
      </c>
      <c r="AA57" s="41">
        <v>2420.3273344498239</v>
      </c>
      <c r="AB57" s="41">
        <v>2468.7338811388204</v>
      </c>
      <c r="AC57" s="41">
        <v>2641.5452528185378</v>
      </c>
      <c r="AD57" s="41">
        <v>2773.6225154594649</v>
      </c>
      <c r="AE57" s="151"/>
      <c r="AF57" s="151"/>
      <c r="AG57" s="151"/>
      <c r="AH57" s="151">
        <f>K57</f>
        <v>839</v>
      </c>
      <c r="AI57" s="151">
        <f>ROUNDUP(($A57*L57)+((1-$A57)*AH57),0)</f>
        <v>852</v>
      </c>
      <c r="AJ57" s="151">
        <f>ROUNDUP(($A57*M57)+((1-$A57)*AI57),0)</f>
        <v>881</v>
      </c>
      <c r="AK57" s="151">
        <f>ROUNDUP(($A57*N57)+((1-$A57)*AJ57),0)</f>
        <v>915</v>
      </c>
      <c r="AL57" s="151">
        <f>ROUNDUP(($A57*O57)+((1-$A57)*AK57),0)</f>
        <v>963</v>
      </c>
      <c r="AM57" s="151">
        <f>ROUNDUP(($A57*P57)+((1-$A57)*AL57),0)</f>
        <v>1016</v>
      </c>
      <c r="AN57" s="151">
        <f t="shared" si="26"/>
        <v>1067</v>
      </c>
      <c r="AO57" s="151">
        <f t="shared" si="26"/>
        <v>1136</v>
      </c>
      <c r="AP57" s="151">
        <f t="shared" si="26"/>
        <v>1208</v>
      </c>
      <c r="AQ57" s="151">
        <f t="shared" si="26"/>
        <v>1276</v>
      </c>
      <c r="AR57" s="151">
        <f t="shared" si="26"/>
        <v>1364</v>
      </c>
      <c r="AS57" s="151">
        <f t="shared" si="26"/>
        <v>1462</v>
      </c>
      <c r="AT57" s="151">
        <f t="shared" si="26"/>
        <v>1571</v>
      </c>
      <c r="AU57" s="151">
        <f t="shared" si="26"/>
        <v>1662</v>
      </c>
      <c r="AV57" s="151">
        <f t="shared" si="26"/>
        <v>1774</v>
      </c>
      <c r="AW57" s="151">
        <f t="shared" si="26"/>
        <v>1879</v>
      </c>
      <c r="AX57" s="151">
        <f t="shared" si="26"/>
        <v>2012</v>
      </c>
      <c r="AY57" s="151">
        <f t="shared" si="26"/>
        <v>2125</v>
      </c>
      <c r="AZ57" s="151">
        <f t="shared" si="26"/>
        <v>2252</v>
      </c>
      <c r="BA57" s="154">
        <f t="shared" si="26"/>
        <v>2381</v>
      </c>
      <c r="BB57" s="155">
        <f t="shared" si="27"/>
        <v>2381</v>
      </c>
      <c r="BC57" s="155">
        <f t="shared" si="27"/>
        <v>2381</v>
      </c>
      <c r="BD57" s="45" t="str">
        <f t="shared" si="30"/>
        <v/>
      </c>
      <c r="BE57" s="45" t="str">
        <f t="shared" si="30"/>
        <v/>
      </c>
      <c r="BF57" s="45" t="str">
        <f t="shared" si="30"/>
        <v/>
      </c>
      <c r="BG57" s="45">
        <f t="shared" si="30"/>
        <v>2534.1156000000033</v>
      </c>
      <c r="BH57" s="45">
        <f t="shared" si="30"/>
        <v>13778.205256360017</v>
      </c>
      <c r="BI57" s="45">
        <f t="shared" si="30"/>
        <v>18727.821231136943</v>
      </c>
      <c r="BJ57" s="45">
        <f t="shared" si="30"/>
        <v>37813.173543799836</v>
      </c>
      <c r="BK57" s="45">
        <f t="shared" si="30"/>
        <v>45378.995576341113</v>
      </c>
      <c r="BL57" s="45">
        <f t="shared" si="30"/>
        <v>42875.666162350324</v>
      </c>
      <c r="BM57" s="45">
        <f t="shared" si="30"/>
        <v>77490.32517599556</v>
      </c>
      <c r="BN57" s="45">
        <f t="shared" si="30"/>
        <v>84154.001775727171</v>
      </c>
      <c r="BO57" s="45">
        <f t="shared" si="30"/>
        <v>75700.267095547213</v>
      </c>
      <c r="BP57" s="45">
        <f t="shared" si="30"/>
        <v>126345.05564286411</v>
      </c>
      <c r="BQ57" s="45">
        <f t="shared" si="29"/>
        <v>158377.3641695253</v>
      </c>
      <c r="BR57" s="45">
        <f t="shared" si="29"/>
        <v>194413.849800706</v>
      </c>
      <c r="BS57" s="45">
        <f t="shared" si="29"/>
        <v>136886.92939782763</v>
      </c>
      <c r="BT57" s="45">
        <f t="shared" si="28"/>
        <v>205817.14658980854</v>
      </c>
      <c r="BU57" s="45">
        <f t="shared" si="28"/>
        <v>181729.62396216267</v>
      </c>
      <c r="BV57" s="45">
        <f t="shared" si="28"/>
        <v>293035.28302255145</v>
      </c>
      <c r="BW57" s="45">
        <f t="shared" si="28"/>
        <v>208605.83818013011</v>
      </c>
      <c r="BX57" s="45">
        <f t="shared" si="28"/>
        <v>266818.99820936716</v>
      </c>
      <c r="BY57" s="45">
        <f t="shared" si="28"/>
        <v>272090.04863425973</v>
      </c>
      <c r="BZ57" s="92">
        <f t="shared" si="4"/>
        <v>358.54770724383911</v>
      </c>
      <c r="CA57" s="47">
        <f t="shared" si="5"/>
        <v>0.12927054970364049</v>
      </c>
      <c r="CB57" s="42">
        <f t="shared" si="17"/>
        <v>1</v>
      </c>
      <c r="CC57" s="42">
        <f t="shared" si="24"/>
        <v>2</v>
      </c>
      <c r="CD57" s="42">
        <f t="shared" si="24"/>
        <v>3</v>
      </c>
      <c r="CE57" s="42">
        <f t="shared" si="24"/>
        <v>4</v>
      </c>
      <c r="CF57" s="42">
        <f t="shared" si="24"/>
        <v>5</v>
      </c>
      <c r="CG57" s="42">
        <f t="shared" si="24"/>
        <v>6</v>
      </c>
      <c r="CH57" s="42">
        <f t="shared" si="24"/>
        <v>7</v>
      </c>
      <c r="CI57" s="42">
        <f t="shared" si="24"/>
        <v>8</v>
      </c>
      <c r="CJ57" s="42">
        <f t="shared" si="24"/>
        <v>9</v>
      </c>
      <c r="CK57" s="42">
        <f t="shared" si="24"/>
        <v>10</v>
      </c>
      <c r="CL57" s="42">
        <f t="shared" si="24"/>
        <v>11</v>
      </c>
      <c r="CM57" s="42">
        <f t="shared" si="24"/>
        <v>12</v>
      </c>
      <c r="CN57" s="42">
        <f t="shared" si="24"/>
        <v>13</v>
      </c>
      <c r="CO57" s="42">
        <f t="shared" si="24"/>
        <v>14</v>
      </c>
      <c r="CP57" s="42">
        <f t="shared" si="24"/>
        <v>15</v>
      </c>
      <c r="CQ57" s="42">
        <f t="shared" si="24"/>
        <v>16</v>
      </c>
      <c r="CR57" s="42">
        <f t="shared" si="23"/>
        <v>17</v>
      </c>
      <c r="CS57" s="42">
        <f t="shared" si="19"/>
        <v>18</v>
      </c>
      <c r="CT57" s="42">
        <f t="shared" si="19"/>
        <v>19</v>
      </c>
      <c r="CU57" s="42">
        <f t="shared" si="19"/>
        <v>20</v>
      </c>
      <c r="CV57" s="42">
        <f t="shared" si="19"/>
        <v>21</v>
      </c>
      <c r="CW57" s="42">
        <f t="shared" si="19"/>
        <v>22</v>
      </c>
      <c r="CX57" s="42">
        <f t="shared" si="19"/>
        <v>23</v>
      </c>
      <c r="CY57" s="42">
        <f t="shared" si="19"/>
        <v>24</v>
      </c>
      <c r="CZ57" s="42">
        <f t="shared" si="19"/>
        <v>25</v>
      </c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94"/>
      <c r="DX57" s="94"/>
      <c r="DY57" s="94"/>
      <c r="DZ57" s="94"/>
      <c r="EA57" s="94"/>
      <c r="EB57" s="94"/>
      <c r="EC57" s="94"/>
      <c r="ED57" s="94"/>
      <c r="EE57" s="94"/>
      <c r="EF57" s="94"/>
      <c r="EG57" s="94"/>
      <c r="EH57" s="94"/>
      <c r="EI57" s="94"/>
      <c r="EJ57" s="94"/>
      <c r="EK57" s="94"/>
      <c r="EL57" s="94"/>
      <c r="EM57" s="94"/>
      <c r="EN57" s="94"/>
      <c r="EO57" s="94"/>
      <c r="EP57" s="94"/>
      <c r="EQ57" s="94"/>
      <c r="ER57" s="94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01"/>
      <c r="FF57" s="101"/>
      <c r="FG57" s="101"/>
      <c r="FH57" s="101"/>
      <c r="FI57" s="101"/>
      <c r="FJ57" s="101"/>
      <c r="FK57" s="101"/>
      <c r="FL57" s="101"/>
      <c r="FM57" s="101"/>
      <c r="FN57" s="101"/>
      <c r="FO57" s="25" t="str">
        <f t="shared" si="6"/>
        <v>Brown's model9</v>
      </c>
    </row>
    <row r="58" spans="1:171">
      <c r="A58" s="144">
        <v>1.6801574859435422E-2</v>
      </c>
      <c r="B58" s="138">
        <v>0.69585615753444752</v>
      </c>
      <c r="C58" s="138">
        <v>0</v>
      </c>
      <c r="D58" s="138"/>
      <c r="E58" s="138"/>
      <c r="F58" s="121"/>
      <c r="G58" s="39" t="s">
        <v>38</v>
      </c>
      <c r="H58" s="40">
        <v>1</v>
      </c>
      <c r="I58" s="41">
        <v>32802.146000000001</v>
      </c>
      <c r="J58" s="41">
        <v>33904.127</v>
      </c>
      <c r="K58" s="41">
        <v>32833.296999999999</v>
      </c>
      <c r="L58" s="41">
        <v>29818.438999999988</v>
      </c>
      <c r="M58" s="41">
        <v>33431.994999999974</v>
      </c>
      <c r="N58" s="41">
        <v>28803.478000000006</v>
      </c>
      <c r="O58" s="41">
        <v>40291.759000000013</v>
      </c>
      <c r="P58" s="41">
        <v>26278.331999999999</v>
      </c>
      <c r="Q58" s="41">
        <v>42540.371000000014</v>
      </c>
      <c r="R58" s="41">
        <v>37172.433999999972</v>
      </c>
      <c r="S58" s="41">
        <v>41637.430999999997</v>
      </c>
      <c r="T58" s="41">
        <v>31219.431999999964</v>
      </c>
      <c r="U58" s="41">
        <v>28675.796000000013</v>
      </c>
      <c r="V58" s="41">
        <v>49731.127000000008</v>
      </c>
      <c r="W58" s="41">
        <v>41223.800000000025</v>
      </c>
      <c r="X58" s="41">
        <v>32654.809000000019</v>
      </c>
      <c r="Y58" s="41">
        <v>28539.58400000001</v>
      </c>
      <c r="Z58" s="41">
        <v>21790.126999999993</v>
      </c>
      <c r="AA58" s="41">
        <v>37336.114000000016</v>
      </c>
      <c r="AB58" s="41">
        <v>42632.649000000019</v>
      </c>
      <c r="AC58" s="41">
        <v>31690.889000000021</v>
      </c>
      <c r="AD58" s="41">
        <v>43097.821000000011</v>
      </c>
      <c r="AE58" s="150"/>
      <c r="AF58" s="150">
        <f t="shared" ref="AF58:AU73" si="31">IF(DA58="","",DA58+DW58)</f>
        <v>32802.146000000001</v>
      </c>
      <c r="AG58" s="150">
        <f t="shared" si="31"/>
        <v>32833.544804340148</v>
      </c>
      <c r="AH58" s="150">
        <f t="shared" si="31"/>
        <v>32846.421531712629</v>
      </c>
      <c r="AI58" s="150">
        <f t="shared" si="31"/>
        <v>32773.025952251111</v>
      </c>
      <c r="AJ58" s="150">
        <f t="shared" si="31"/>
        <v>32769.281288750761</v>
      </c>
      <c r="AK58" s="150">
        <f t="shared" si="31"/>
        <v>32641.467059484468</v>
      </c>
      <c r="AL58" s="150">
        <f t="shared" si="31"/>
        <v>32798.264753818468</v>
      </c>
      <c r="AM58" s="150">
        <f t="shared" si="31"/>
        <v>32640.752698202094</v>
      </c>
      <c r="AN58" s="150">
        <f t="shared" si="31"/>
        <v>32874.856141478267</v>
      </c>
      <c r="AO58" s="150">
        <f t="shared" si="31"/>
        <v>33065.081525549656</v>
      </c>
      <c r="AP58" s="150">
        <f t="shared" si="31"/>
        <v>33427.353251556393</v>
      </c>
      <c r="AQ58" s="150">
        <f t="shared" si="31"/>
        <v>33582.685586297492</v>
      </c>
      <c r="AR58" s="150">
        <f t="shared" si="31"/>
        <v>33635.302204384614</v>
      </c>
      <c r="AS58" s="150">
        <f t="shared" si="31"/>
        <v>34228.981503182695</v>
      </c>
      <c r="AT58" s="150">
        <f t="shared" si="31"/>
        <v>34751.529339173503</v>
      </c>
      <c r="AU58" s="150">
        <f t="shared" si="31"/>
        <v>35096.811242334035</v>
      </c>
      <c r="AV58" s="150">
        <f t="shared" ref="AV58:AZ75" si="32">IF(DQ58="","",DQ58+EM58)</f>
        <v>35290.485918135273</v>
      </c>
      <c r="AW58" s="150">
        <f t="shared" si="32"/>
        <v>35209.665880192777</v>
      </c>
      <c r="AX58" s="150">
        <f t="shared" si="32"/>
        <v>35416.262134734701</v>
      </c>
      <c r="AY58" s="150">
        <f t="shared" si="32"/>
        <v>35792.747613954736</v>
      </c>
      <c r="AZ58" s="150">
        <f t="shared" si="32"/>
        <v>35931.111949310485</v>
      </c>
      <c r="BA58" s="148">
        <f t="shared" ref="BA58:BC66" si="33">$DU58+(CX58-$CV58)*$EQ58</f>
        <v>36138.393969231423</v>
      </c>
      <c r="BB58" s="156">
        <f t="shared" si="33"/>
        <v>36345.675989152354</v>
      </c>
      <c r="BC58" s="156">
        <f t="shared" si="33"/>
        <v>36552.958009073285</v>
      </c>
      <c r="BD58" s="45" t="str">
        <f t="shared" si="30"/>
        <v/>
      </c>
      <c r="BE58" s="45">
        <f t="shared" si="30"/>
        <v>1214362.1243609996</v>
      </c>
      <c r="BF58" s="45">
        <f t="shared" si="30"/>
        <v>6.1406990997048848E-2</v>
      </c>
      <c r="BG58" s="45">
        <f t="shared" si="30"/>
        <v>9168678.2123568989</v>
      </c>
      <c r="BH58" s="45">
        <f t="shared" si="30"/>
        <v>434240.20589104207</v>
      </c>
      <c r="BI58" s="45">
        <f t="shared" si="30"/>
        <v>15727595.725066299</v>
      </c>
      <c r="BJ58" s="45">
        <f t="shared" si="30"/>
        <v>58526966.775117092</v>
      </c>
      <c r="BK58" s="45">
        <f t="shared" si="30"/>
        <v>42509523.114314891</v>
      </c>
      <c r="BL58" s="45">
        <f t="shared" si="30"/>
        <v>98002442.521292329</v>
      </c>
      <c r="BM58" s="45">
        <f t="shared" si="30"/>
        <v>18469175.450056002</v>
      </c>
      <c r="BN58" s="45">
        <f t="shared" si="30"/>
        <v>73485175.512109026</v>
      </c>
      <c r="BO58" s="45">
        <f t="shared" si="30"/>
        <v>4874916.2530745063</v>
      </c>
      <c r="BP58" s="45">
        <f t="shared" si="30"/>
        <v>24077565.412114643</v>
      </c>
      <c r="BQ58" s="45">
        <f t="shared" si="29"/>
        <v>259075575.85114732</v>
      </c>
      <c r="BR58" s="45">
        <f t="shared" si="29"/>
        <v>48927485.803417854</v>
      </c>
      <c r="BS58" s="45">
        <f t="shared" si="29"/>
        <v>4396236.1807037694</v>
      </c>
      <c r="BT58" s="45">
        <f t="shared" si="28"/>
        <v>42997229.107607491</v>
      </c>
      <c r="BU58" s="45">
        <f t="shared" si="28"/>
        <v>182259690.91847479</v>
      </c>
      <c r="BV58" s="45">
        <f t="shared" si="28"/>
        <v>4521781.6062317416</v>
      </c>
      <c r="BW58" s="45">
        <f t="shared" si="28"/>
        <v>52076239.389173806</v>
      </c>
      <c r="BX58" s="45">
        <f t="shared" si="28"/>
        <v>16825244.088874497</v>
      </c>
      <c r="BY58" s="45">
        <f t="shared" si="28"/>
        <v>51361718.617235161</v>
      </c>
      <c r="BZ58" s="92">
        <f t="shared" si="4"/>
        <v>6931.4048700720432</v>
      </c>
      <c r="CA58" s="47">
        <f t="shared" si="5"/>
        <v>0.16082958973893463</v>
      </c>
      <c r="CB58" s="42">
        <f t="shared" si="17"/>
        <v>1</v>
      </c>
      <c r="CC58" s="42">
        <f t="shared" si="24"/>
        <v>2</v>
      </c>
      <c r="CD58" s="42">
        <f t="shared" si="24"/>
        <v>3</v>
      </c>
      <c r="CE58" s="42">
        <f t="shared" si="24"/>
        <v>4</v>
      </c>
      <c r="CF58" s="42">
        <f t="shared" si="24"/>
        <v>5</v>
      </c>
      <c r="CG58" s="42">
        <f t="shared" si="24"/>
        <v>6</v>
      </c>
      <c r="CH58" s="42">
        <f t="shared" si="24"/>
        <v>7</v>
      </c>
      <c r="CI58" s="42">
        <f t="shared" si="24"/>
        <v>8</v>
      </c>
      <c r="CJ58" s="42">
        <f t="shared" si="24"/>
        <v>9</v>
      </c>
      <c r="CK58" s="42">
        <f t="shared" si="24"/>
        <v>10</v>
      </c>
      <c r="CL58" s="42">
        <f t="shared" si="24"/>
        <v>11</v>
      </c>
      <c r="CM58" s="42">
        <f t="shared" si="24"/>
        <v>12</v>
      </c>
      <c r="CN58" s="42">
        <f t="shared" si="24"/>
        <v>13</v>
      </c>
      <c r="CO58" s="42">
        <f t="shared" si="24"/>
        <v>14</v>
      </c>
      <c r="CP58" s="42">
        <f t="shared" si="24"/>
        <v>15</v>
      </c>
      <c r="CQ58" s="42">
        <f t="shared" si="24"/>
        <v>16</v>
      </c>
      <c r="CR58" s="42">
        <f t="shared" si="23"/>
        <v>17</v>
      </c>
      <c r="CS58" s="42">
        <f t="shared" si="19"/>
        <v>18</v>
      </c>
      <c r="CT58" s="42">
        <f t="shared" si="19"/>
        <v>19</v>
      </c>
      <c r="CU58" s="42">
        <f t="shared" si="19"/>
        <v>20</v>
      </c>
      <c r="CV58" s="42">
        <f t="shared" si="19"/>
        <v>21</v>
      </c>
      <c r="CW58" s="42">
        <f t="shared" si="19"/>
        <v>22</v>
      </c>
      <c r="CX58" s="42">
        <f t="shared" si="19"/>
        <v>23</v>
      </c>
      <c r="CY58" s="42">
        <f t="shared" si="19"/>
        <v>24</v>
      </c>
      <c r="CZ58" s="42">
        <f t="shared" si="19"/>
        <v>25</v>
      </c>
      <c r="DA58" s="102">
        <f t="shared" ref="DA58:DA66" si="34">IF(CB58=1,I58,"")</f>
        <v>32802.146000000001</v>
      </c>
      <c r="DB58" s="103">
        <f t="shared" ref="DB58:DQ66" si="35">IF(CC58="","",IF(CC58=1,J58,$A58*J58+(1-$A58)*AF58))</f>
        <v>32820.661016265178</v>
      </c>
      <c r="DC58" s="103">
        <f t="shared" si="35"/>
        <v>32833.540640836974</v>
      </c>
      <c r="DD58" s="103">
        <f t="shared" si="35"/>
        <v>32795.546656532999</v>
      </c>
      <c r="DE58" s="103">
        <f t="shared" si="35"/>
        <v>32784.097670036914</v>
      </c>
      <c r="DF58" s="103">
        <f t="shared" si="35"/>
        <v>32702.649547917019</v>
      </c>
      <c r="DG58" s="103">
        <f t="shared" si="35"/>
        <v>32770.004012219579</v>
      </c>
      <c r="DH58" s="103">
        <f t="shared" si="35"/>
        <v>32688.719615576701</v>
      </c>
      <c r="DI58" s="103">
        <f t="shared" si="35"/>
        <v>32807.081876179589</v>
      </c>
      <c r="DJ58" s="103">
        <f t="shared" si="35"/>
        <v>32947.062217582468</v>
      </c>
      <c r="DK58" s="103">
        <f t="shared" si="35"/>
        <v>33209.110496965877</v>
      </c>
      <c r="DL58" s="103">
        <f t="shared" si="35"/>
        <v>33390.256697364624</v>
      </c>
      <c r="DM58" s="103">
        <f t="shared" si="35"/>
        <v>33500.242113586333</v>
      </c>
      <c r="DN58" s="103">
        <f t="shared" si="35"/>
        <v>33905.737409612499</v>
      </c>
      <c r="DO58" s="103">
        <f t="shared" si="35"/>
        <v>34346.50546978513</v>
      </c>
      <c r="DP58" s="103">
        <f t="shared" si="35"/>
        <v>34716.301135435577</v>
      </c>
      <c r="DQ58" s="103">
        <f t="shared" si="35"/>
        <v>34986.639497951626</v>
      </c>
      <c r="DR58" s="103">
        <f t="shared" ref="DR58:DV66" si="36">IF(CS58="","",IF(CS58=1,Z58,$A58*Z58+(1-$A58)*AV58))</f>
        <v>35063.658627142977</v>
      </c>
      <c r="DS58" s="103">
        <f t="shared" si="36"/>
        <v>35245.393557462419</v>
      </c>
      <c r="DT58" s="103">
        <f t="shared" si="36"/>
        <v>35537.508798866103</v>
      </c>
      <c r="DU58" s="103">
        <f t="shared" si="36"/>
        <v>35723.829929389554</v>
      </c>
      <c r="DV58" s="103">
        <f t="shared" si="36"/>
        <v>36051.523947921436</v>
      </c>
      <c r="DW58" s="25">
        <f t="shared" ref="DW58:DW66" si="37">IF(CB58=1,0,"")</f>
        <v>0</v>
      </c>
      <c r="DX58" s="25">
        <f t="shared" ref="DX58:EM66" si="38">IF(CC58="","",IF(CC58=1,0,$B58*(DB58-DA58)+(1-$B58)*DW58))</f>
        <v>12.883788074973941</v>
      </c>
      <c r="DY58" s="25">
        <f t="shared" si="38"/>
        <v>12.88089087565117</v>
      </c>
      <c r="DZ58" s="25">
        <f t="shared" si="38"/>
        <v>-22.520704281888545</v>
      </c>
      <c r="EA58" s="25">
        <f t="shared" si="38"/>
        <v>-14.816381286153577</v>
      </c>
      <c r="EB58" s="25">
        <f t="shared" si="38"/>
        <v>-61.182488432551914</v>
      </c>
      <c r="EC58" s="25">
        <f t="shared" si="38"/>
        <v>28.260741598889815</v>
      </c>
      <c r="ED58" s="25">
        <f t="shared" si="38"/>
        <v>-47.966917374606084</v>
      </c>
      <c r="EE58" s="25">
        <f t="shared" si="38"/>
        <v>67.774265298675886</v>
      </c>
      <c r="EF58" s="25">
        <f t="shared" si="38"/>
        <v>118.01930796718675</v>
      </c>
      <c r="EG58" s="25">
        <f t="shared" si="38"/>
        <v>218.2427545905179</v>
      </c>
      <c r="EH58" s="25">
        <f t="shared" si="38"/>
        <v>192.42888893286391</v>
      </c>
      <c r="EI58" s="25">
        <f t="shared" si="38"/>
        <v>135.06009079828348</v>
      </c>
      <c r="EJ58" s="25">
        <f t="shared" si="38"/>
        <v>323.24409357019709</v>
      </c>
      <c r="EK58" s="25">
        <f t="shared" si="38"/>
        <v>405.0238693883739</v>
      </c>
      <c r="EL58" s="25">
        <f t="shared" si="38"/>
        <v>380.51010689845913</v>
      </c>
      <c r="EM58" s="25">
        <f t="shared" si="38"/>
        <v>303.84642018364821</v>
      </c>
      <c r="EN58" s="25">
        <f t="shared" ref="EN58:ER66" si="39">IF(CS58="","",IF(CS58=1,0,$B58*(DR58-DQ58)+(1-$B58)*EM58))</f>
        <v>146.00725304980003</v>
      </c>
      <c r="EO58" s="25">
        <f t="shared" si="39"/>
        <v>170.86857727228414</v>
      </c>
      <c r="EP58" s="25">
        <f t="shared" si="39"/>
        <v>255.23881508862991</v>
      </c>
      <c r="EQ58" s="25">
        <f t="shared" si="39"/>
        <v>207.28201992093329</v>
      </c>
      <c r="ER58" s="25">
        <f t="shared" si="39"/>
        <v>291.07145059539113</v>
      </c>
      <c r="FO58" s="25" t="str">
        <f t="shared" si="6"/>
        <v>Holt's model1</v>
      </c>
    </row>
    <row r="59" spans="1:171">
      <c r="A59" s="145">
        <v>0.24506494031006645</v>
      </c>
      <c r="B59" s="141">
        <v>0.71663575008061098</v>
      </c>
      <c r="C59" s="141">
        <v>0</v>
      </c>
      <c r="D59" s="141"/>
      <c r="E59" s="141"/>
      <c r="F59" s="131"/>
      <c r="G59" s="39" t="s">
        <v>38</v>
      </c>
      <c r="H59" s="40">
        <v>2</v>
      </c>
      <c r="I59" s="41">
        <v>2034.829</v>
      </c>
      <c r="J59" s="41">
        <v>3926.1889999999994</v>
      </c>
      <c r="K59" s="41">
        <v>3165.9719999999993</v>
      </c>
      <c r="L59" s="41">
        <v>2405.7349999999997</v>
      </c>
      <c r="M59" s="41">
        <v>4985.2890000000025</v>
      </c>
      <c r="N59" s="41">
        <v>3527.0360000000028</v>
      </c>
      <c r="O59" s="41">
        <v>5465.6859999999933</v>
      </c>
      <c r="P59" s="41">
        <v>3315.097000000002</v>
      </c>
      <c r="Q59" s="41">
        <v>5477.0960000000023</v>
      </c>
      <c r="R59" s="41">
        <v>4799.9790000000003</v>
      </c>
      <c r="S59" s="41">
        <v>6470.7690000000048</v>
      </c>
      <c r="T59" s="41">
        <v>5351.2719999999999</v>
      </c>
      <c r="U59" s="41">
        <v>5938.1189999999997</v>
      </c>
      <c r="V59" s="41">
        <v>4660.0050000000001</v>
      </c>
      <c r="W59" s="41">
        <v>5788.3040000000074</v>
      </c>
      <c r="X59" s="41">
        <v>5788.3040000000074</v>
      </c>
      <c r="Y59" s="41">
        <v>5652.8189999999959</v>
      </c>
      <c r="Z59" s="41">
        <v>4704.0000000000045</v>
      </c>
      <c r="AA59" s="41">
        <v>4291.5800000000008</v>
      </c>
      <c r="AB59" s="41">
        <v>5788.3040000000074</v>
      </c>
      <c r="AC59" s="41">
        <v>5711.5479999999989</v>
      </c>
      <c r="AD59" s="41">
        <v>6232.6779999999999</v>
      </c>
      <c r="AE59" s="150"/>
      <c r="AF59" s="150">
        <f t="shared" si="31"/>
        <v>2034.829</v>
      </c>
      <c r="AG59" s="150">
        <f t="shared" si="31"/>
        <v>2830.5000137593961</v>
      </c>
      <c r="AH59" s="150">
        <f t="shared" si="31"/>
        <v>3303.793785206959</v>
      </c>
      <c r="AI59" s="150">
        <f t="shared" si="31"/>
        <v>3317.0732647948266</v>
      </c>
      <c r="AJ59" s="150">
        <f t="shared" si="31"/>
        <v>4252.2325363847822</v>
      </c>
      <c r="AK59" s="150">
        <f t="shared" si="31"/>
        <v>4473.4896907735292</v>
      </c>
      <c r="AL59" s="150">
        <f t="shared" si="31"/>
        <v>5289.8714155772905</v>
      </c>
      <c r="AM59" s="150">
        <f t="shared" si="31"/>
        <v>5032.3382172576712</v>
      </c>
      <c r="AN59" s="150">
        <f t="shared" si="31"/>
        <v>5445.8569162526082</v>
      </c>
      <c r="AO59" s="150">
        <f t="shared" si="31"/>
        <v>5478.6684793343575</v>
      </c>
      <c r="AP59" s="150">
        <f t="shared" si="31"/>
        <v>6087.1261028979079</v>
      </c>
      <c r="AQ59" s="150">
        <f t="shared" si="31"/>
        <v>6142.8902417378667</v>
      </c>
      <c r="AR59" s="150">
        <f t="shared" si="31"/>
        <v>6292.8417743491345</v>
      </c>
      <c r="AS59" s="150">
        <f t="shared" si="31"/>
        <v>5806.0619669963617</v>
      </c>
      <c r="AT59" s="150">
        <f t="shared" si="31"/>
        <v>5711.962656203963</v>
      </c>
      <c r="AU59" s="150">
        <f t="shared" si="31"/>
        <v>5654.3310295718929</v>
      </c>
      <c r="AV59" s="150">
        <f t="shared" si="32"/>
        <v>5577.354724535443</v>
      </c>
      <c r="AW59" s="150">
        <f t="shared" si="32"/>
        <v>5133.3397784019226</v>
      </c>
      <c r="AX59" s="150">
        <f t="shared" si="32"/>
        <v>4549.2358597842422</v>
      </c>
      <c r="AY59" s="150">
        <f t="shared" si="32"/>
        <v>4692.6779041558202</v>
      </c>
      <c r="AZ59" s="150">
        <f t="shared" si="32"/>
        <v>4961.0934348274041</v>
      </c>
      <c r="BA59" s="148">
        <f t="shared" si="33"/>
        <v>4979.8196262772226</v>
      </c>
      <c r="BB59" s="157">
        <f t="shared" si="33"/>
        <v>4998.5458177270402</v>
      </c>
      <c r="BC59" s="157">
        <f t="shared" si="33"/>
        <v>5017.2720091768588</v>
      </c>
      <c r="BD59" s="45" t="str">
        <f t="shared" si="30"/>
        <v/>
      </c>
      <c r="BE59" s="45">
        <f t="shared" si="30"/>
        <v>3577242.6495999978</v>
      </c>
      <c r="BF59" s="45">
        <f t="shared" si="30"/>
        <v>112541.45355221546</v>
      </c>
      <c r="BG59" s="45">
        <f t="shared" si="30"/>
        <v>806509.58168739954</v>
      </c>
      <c r="BH59" s="45">
        <f t="shared" si="30"/>
        <v>2782943.7391861454</v>
      </c>
      <c r="BI59" s="45">
        <f t="shared" si="30"/>
        <v>525910.01638448064</v>
      </c>
      <c r="BJ59" s="45">
        <f t="shared" si="30"/>
        <v>984453.51604261715</v>
      </c>
      <c r="BK59" s="45">
        <f t="shared" si="30"/>
        <v>3899733.9924186212</v>
      </c>
      <c r="BL59" s="45">
        <f t="shared" si="30"/>
        <v>197809.48530987458</v>
      </c>
      <c r="BM59" s="45">
        <f t="shared" si="30"/>
        <v>417158.28270281089</v>
      </c>
      <c r="BN59" s="45">
        <f t="shared" si="30"/>
        <v>984263.4431050485</v>
      </c>
      <c r="BO59" s="45">
        <f t="shared" si="30"/>
        <v>541481.26075168489</v>
      </c>
      <c r="BP59" s="45">
        <f t="shared" si="30"/>
        <v>41931.261442867988</v>
      </c>
      <c r="BQ59" s="45">
        <f t="shared" si="29"/>
        <v>2666155.931666886</v>
      </c>
      <c r="BR59" s="45">
        <f t="shared" si="29"/>
        <v>315.34539184360852</v>
      </c>
      <c r="BS59" s="45">
        <f t="shared" si="29"/>
        <v>5828.0007725858441</v>
      </c>
      <c r="BT59" s="45">
        <f t="shared" si="28"/>
        <v>2.2862334262912483</v>
      </c>
      <c r="BU59" s="45">
        <f t="shared" si="28"/>
        <v>762748.4748683715</v>
      </c>
      <c r="BV59" s="45">
        <f t="shared" si="28"/>
        <v>708559.52453525236</v>
      </c>
      <c r="BW59" s="45">
        <f t="shared" si="28"/>
        <v>1535289.8560977553</v>
      </c>
      <c r="BX59" s="45">
        <f t="shared" si="28"/>
        <v>1038096.2722055258</v>
      </c>
      <c r="BY59" s="45">
        <f t="shared" si="28"/>
        <v>1616927.3063851795</v>
      </c>
      <c r="BZ59" s="92">
        <f t="shared" si="4"/>
        <v>1051.2102250069086</v>
      </c>
      <c r="CA59" s="47">
        <f t="shared" si="5"/>
        <v>0.1686610835674342</v>
      </c>
      <c r="CB59" s="42">
        <f t="shared" si="17"/>
        <v>1</v>
      </c>
      <c r="CC59" s="42">
        <f t="shared" si="24"/>
        <v>2</v>
      </c>
      <c r="CD59" s="42">
        <f t="shared" si="24"/>
        <v>3</v>
      </c>
      <c r="CE59" s="42">
        <f t="shared" si="24"/>
        <v>4</v>
      </c>
      <c r="CF59" s="42">
        <f t="shared" si="24"/>
        <v>5</v>
      </c>
      <c r="CG59" s="42">
        <f t="shared" si="24"/>
        <v>6</v>
      </c>
      <c r="CH59" s="42">
        <f t="shared" si="24"/>
        <v>7</v>
      </c>
      <c r="CI59" s="42">
        <f t="shared" si="24"/>
        <v>8</v>
      </c>
      <c r="CJ59" s="42">
        <f t="shared" si="24"/>
        <v>9</v>
      </c>
      <c r="CK59" s="42">
        <f t="shared" si="24"/>
        <v>10</v>
      </c>
      <c r="CL59" s="42">
        <f t="shared" si="24"/>
        <v>11</v>
      </c>
      <c r="CM59" s="42">
        <f t="shared" si="24"/>
        <v>12</v>
      </c>
      <c r="CN59" s="42">
        <f t="shared" si="24"/>
        <v>13</v>
      </c>
      <c r="CO59" s="42">
        <f t="shared" si="24"/>
        <v>14</v>
      </c>
      <c r="CP59" s="42">
        <f t="shared" si="24"/>
        <v>15</v>
      </c>
      <c r="CQ59" s="42">
        <f t="shared" si="24"/>
        <v>16</v>
      </c>
      <c r="CR59" s="42">
        <f t="shared" si="23"/>
        <v>17</v>
      </c>
      <c r="CS59" s="42">
        <f t="shared" si="19"/>
        <v>18</v>
      </c>
      <c r="CT59" s="42">
        <f t="shared" si="19"/>
        <v>19</v>
      </c>
      <c r="CU59" s="42">
        <f t="shared" si="19"/>
        <v>20</v>
      </c>
      <c r="CV59" s="42">
        <f t="shared" si="19"/>
        <v>21</v>
      </c>
      <c r="CW59" s="42">
        <f t="shared" si="19"/>
        <v>22</v>
      </c>
      <c r="CX59" s="42">
        <f t="shared" si="19"/>
        <v>23</v>
      </c>
      <c r="CY59" s="42">
        <f t="shared" si="19"/>
        <v>24</v>
      </c>
      <c r="CZ59" s="42">
        <f t="shared" si="19"/>
        <v>25</v>
      </c>
      <c r="DA59" s="102">
        <f t="shared" si="34"/>
        <v>2034.829</v>
      </c>
      <c r="DB59" s="103">
        <f t="shared" si="35"/>
        <v>2498.3350255048472</v>
      </c>
      <c r="DC59" s="103">
        <f t="shared" si="35"/>
        <v>2912.712436043149</v>
      </c>
      <c r="DD59" s="103">
        <f t="shared" si="35"/>
        <v>3083.7110626152844</v>
      </c>
      <c r="DE59" s="103">
        <f t="shared" si="35"/>
        <v>3725.8944543671969</v>
      </c>
      <c r="DF59" s="103">
        <f t="shared" si="35"/>
        <v>4074.5122904825794</v>
      </c>
      <c r="DG59" s="103">
        <f t="shared" si="35"/>
        <v>4716.6422200699808</v>
      </c>
      <c r="DH59" s="103">
        <f t="shared" si="35"/>
        <v>4805.9234412979959</v>
      </c>
      <c r="DI59" s="103">
        <f t="shared" si="35"/>
        <v>5141.3327567378583</v>
      </c>
      <c r="DJ59" s="103">
        <f t="shared" si="35"/>
        <v>5287.5748832585723</v>
      </c>
      <c r="DK59" s="103">
        <f t="shared" si="35"/>
        <v>5721.7975342128702</v>
      </c>
      <c r="DL59" s="103">
        <f t="shared" si="35"/>
        <v>5906.7940610943151</v>
      </c>
      <c r="DM59" s="103">
        <f t="shared" si="35"/>
        <v>6092.7079896041578</v>
      </c>
      <c r="DN59" s="103">
        <f t="shared" si="35"/>
        <v>5892.6907277071823</v>
      </c>
      <c r="DO59" s="103">
        <f t="shared" si="35"/>
        <v>5801.7101118743722</v>
      </c>
      <c r="DP59" s="103">
        <f t="shared" si="35"/>
        <v>5730.6712430645312</v>
      </c>
      <c r="DQ59" s="103">
        <f t="shared" si="35"/>
        <v>5653.9604841351093</v>
      </c>
      <c r="DR59" s="103">
        <f t="shared" si="36"/>
        <v>5363.3261010976512</v>
      </c>
      <c r="DS59" s="103">
        <f t="shared" si="36"/>
        <v>4927.0539685524409</v>
      </c>
      <c r="DT59" s="103">
        <f t="shared" si="36"/>
        <v>4852.8880196063237</v>
      </c>
      <c r="DU59" s="103">
        <f t="shared" si="36"/>
        <v>4942.3672433775855</v>
      </c>
      <c r="DV59" s="103">
        <f t="shared" si="36"/>
        <v>5272.7142303906285</v>
      </c>
      <c r="DW59" s="25">
        <f t="shared" si="37"/>
        <v>0</v>
      </c>
      <c r="DX59" s="25">
        <f t="shared" si="38"/>
        <v>332.16498825454897</v>
      </c>
      <c r="DY59" s="25">
        <f t="shared" si="38"/>
        <v>391.0813491638101</v>
      </c>
      <c r="DZ59" s="25">
        <f t="shared" si="38"/>
        <v>233.36220217954229</v>
      </c>
      <c r="EA59" s="25">
        <f t="shared" si="38"/>
        <v>526.33808201758552</v>
      </c>
      <c r="EB59" s="25">
        <f t="shared" si="38"/>
        <v>398.97740029094962</v>
      </c>
      <c r="EC59" s="25">
        <f t="shared" si="38"/>
        <v>573.22919550731012</v>
      </c>
      <c r="ED59" s="25">
        <f t="shared" si="38"/>
        <v>226.4147759596753</v>
      </c>
      <c r="EE59" s="25">
        <f t="shared" si="38"/>
        <v>304.52415951474995</v>
      </c>
      <c r="EF59" s="25">
        <f t="shared" si="38"/>
        <v>191.093596075785</v>
      </c>
      <c r="EG59" s="25">
        <f t="shared" si="38"/>
        <v>365.32856868503814</v>
      </c>
      <c r="EH59" s="25">
        <f t="shared" si="38"/>
        <v>236.09618064355197</v>
      </c>
      <c r="EI59" s="25">
        <f t="shared" si="38"/>
        <v>200.13378474497688</v>
      </c>
      <c r="EJ59" s="25">
        <f t="shared" si="38"/>
        <v>-86.628760710820188</v>
      </c>
      <c r="EK59" s="25">
        <f t="shared" si="38"/>
        <v>-89.747455670409607</v>
      </c>
      <c r="EL59" s="25">
        <f t="shared" si="38"/>
        <v>-76.340213492637758</v>
      </c>
      <c r="EM59" s="25">
        <f t="shared" si="38"/>
        <v>-76.605759599666513</v>
      </c>
      <c r="EN59" s="25">
        <f t="shared" si="39"/>
        <v>-229.98632269572892</v>
      </c>
      <c r="EO59" s="25">
        <f t="shared" si="39"/>
        <v>-377.81810876819833</v>
      </c>
      <c r="EP59" s="25">
        <f t="shared" si="39"/>
        <v>-160.21011545050362</v>
      </c>
      <c r="EQ59" s="25">
        <f t="shared" si="39"/>
        <v>18.726191449818344</v>
      </c>
      <c r="ER59" s="25">
        <f t="shared" si="39"/>
        <v>242.04479401898655</v>
      </c>
      <c r="FO59" s="25" t="str">
        <f t="shared" si="6"/>
        <v>Holt's model2</v>
      </c>
    </row>
    <row r="60" spans="1:171">
      <c r="A60" s="145">
        <v>0.2975725273944877</v>
      </c>
      <c r="B60" s="141">
        <v>1</v>
      </c>
      <c r="C60" s="141">
        <v>0</v>
      </c>
      <c r="D60" s="141"/>
      <c r="E60" s="141"/>
      <c r="F60" s="124"/>
      <c r="G60" s="39" t="s">
        <v>38</v>
      </c>
      <c r="H60" s="40">
        <v>3</v>
      </c>
      <c r="I60" s="41">
        <v>13358.629000000003</v>
      </c>
      <c r="J60" s="41">
        <v>20803.865999999976</v>
      </c>
      <c r="K60" s="41">
        <v>20017.845000000023</v>
      </c>
      <c r="L60" s="41">
        <v>15104.177</v>
      </c>
      <c r="M60" s="41">
        <v>26176.769000000015</v>
      </c>
      <c r="N60" s="41">
        <v>16747.22099999998</v>
      </c>
      <c r="O60" s="41">
        <v>26239.445000000032</v>
      </c>
      <c r="P60" s="41">
        <v>19977.948</v>
      </c>
      <c r="Q60" s="41">
        <v>24363.912000000008</v>
      </c>
      <c r="R60" s="41">
        <v>27562.603000000043</v>
      </c>
      <c r="S60" s="41">
        <v>19304.851999999999</v>
      </c>
      <c r="T60" s="41">
        <v>18896.307999999983</v>
      </c>
      <c r="U60" s="41">
        <v>18222.650000000001</v>
      </c>
      <c r="V60" s="41">
        <v>22709.071000000025</v>
      </c>
      <c r="W60" s="41">
        <v>16042.15199999998</v>
      </c>
      <c r="X60" s="41">
        <v>16228.581999999999</v>
      </c>
      <c r="Y60" s="41">
        <v>16931.791000000016</v>
      </c>
      <c r="Z60" s="41">
        <v>19747.198</v>
      </c>
      <c r="AA60" s="41">
        <v>19613.917000000005</v>
      </c>
      <c r="AB60" s="41">
        <v>23936.453999999991</v>
      </c>
      <c r="AC60" s="41">
        <v>26626.845000000001</v>
      </c>
      <c r="AD60" s="41">
        <v>29996.83699999996</v>
      </c>
      <c r="AE60" s="150"/>
      <c r="AF60" s="150">
        <f t="shared" si="31"/>
        <v>13358.629000000003</v>
      </c>
      <c r="AG60" s="150">
        <f t="shared" si="31"/>
        <v>17789.624982281894</v>
      </c>
      <c r="AH60" s="150">
        <f t="shared" si="31"/>
        <v>21331.23709794959</v>
      </c>
      <c r="AI60" s="150">
        <f t="shared" si="31"/>
        <v>20503.788128185457</v>
      </c>
      <c r="AJ60" s="150">
        <f t="shared" si="31"/>
        <v>24905.587681778437</v>
      </c>
      <c r="AK60" s="150">
        <f t="shared" si="31"/>
        <v>22763.852393669389</v>
      </c>
      <c r="AL60" s="150">
        <f t="shared" si="31"/>
        <v>25118.304650586942</v>
      </c>
      <c r="AM60" s="150">
        <f t="shared" si="31"/>
        <v>23379.258190996654</v>
      </c>
      <c r="AN60" s="150">
        <f t="shared" si="31"/>
        <v>23755.852496738058</v>
      </c>
      <c r="AO60" s="150">
        <f t="shared" si="31"/>
        <v>26105.009616757536</v>
      </c>
      <c r="AP60" s="150">
        <f t="shared" si="31"/>
        <v>23274.30219096228</v>
      </c>
      <c r="AQ60" s="150">
        <f t="shared" si="31"/>
        <v>19861.593261220369</v>
      </c>
      <c r="AR60" s="150">
        <f t="shared" si="31"/>
        <v>16776.246150806477</v>
      </c>
      <c r="AS60" s="150">
        <f t="shared" si="31"/>
        <v>17709.494898816785</v>
      </c>
      <c r="AT60" s="150">
        <f t="shared" si="31"/>
        <v>15884.987080995408</v>
      </c>
      <c r="AU60" s="150">
        <f t="shared" si="31"/>
        <v>14761.123520504399</v>
      </c>
      <c r="AV60" s="150">
        <f t="shared" si="32"/>
        <v>14826.877567578355</v>
      </c>
      <c r="AW60" s="150">
        <f t="shared" si="32"/>
        <v>17175.004979978672</v>
      </c>
      <c r="AX60" s="150">
        <f t="shared" si="32"/>
        <v>19510.486633493631</v>
      </c>
      <c r="AY60" s="150">
        <f t="shared" si="32"/>
        <v>23754.307663951688</v>
      </c>
      <c r="AZ60" s="150">
        <f t="shared" si="32"/>
        <v>28390.65878923878</v>
      </c>
      <c r="BA60" s="148">
        <f t="shared" si="33"/>
        <v>32172.221719402944</v>
      </c>
      <c r="BB60" s="157">
        <f t="shared" si="33"/>
        <v>35953.784649567111</v>
      </c>
      <c r="BC60" s="157">
        <f t="shared" si="33"/>
        <v>39735.347579731271</v>
      </c>
      <c r="BD60" s="45" t="str">
        <f t="shared" si="30"/>
        <v/>
      </c>
      <c r="BE60" s="45">
        <f t="shared" si="30"/>
        <v>55431553.986168608</v>
      </c>
      <c r="BF60" s="45">
        <f t="shared" si="30"/>
        <v>4964964.4473597808</v>
      </c>
      <c r="BG60" s="45">
        <f t="shared" si="30"/>
        <v>38776277.463475958</v>
      </c>
      <c r="BH60" s="45">
        <f t="shared" si="30"/>
        <v>32182711.971973859</v>
      </c>
      <c r="BI60" s="45">
        <f t="shared" si="30"/>
        <v>66558946.914352842</v>
      </c>
      <c r="BJ60" s="45">
        <f t="shared" si="30"/>
        <v>12079743.965180235</v>
      </c>
      <c r="BK60" s="45">
        <f t="shared" si="30"/>
        <v>26423266.495233405</v>
      </c>
      <c r="BL60" s="45">
        <f t="shared" si="30"/>
        <v>969543.12358481286</v>
      </c>
      <c r="BM60" s="45">
        <f t="shared" si="30"/>
        <v>14491349.394085374</v>
      </c>
      <c r="BN60" s="45">
        <f t="shared" si="30"/>
        <v>46242143.612745538</v>
      </c>
      <c r="BO60" s="45">
        <f t="shared" si="30"/>
        <v>19166833.136099622</v>
      </c>
      <c r="BP60" s="45">
        <f t="shared" si="30"/>
        <v>2686135.013499653</v>
      </c>
      <c r="BQ60" s="45">
        <f t="shared" si="29"/>
        <v>35198410.691208452</v>
      </c>
      <c r="BR60" s="45">
        <f t="shared" si="29"/>
        <v>2780032.3422348271</v>
      </c>
      <c r="BS60" s="45">
        <f t="shared" si="29"/>
        <v>118057.468365771</v>
      </c>
      <c r="BT60" s="45">
        <f t="shared" si="28"/>
        <v>4711797.3065398512</v>
      </c>
      <c r="BU60" s="45">
        <f t="shared" si="28"/>
        <v>24209553.157705933</v>
      </c>
      <c r="BV60" s="45">
        <f t="shared" si="28"/>
        <v>5948291.8414045386</v>
      </c>
      <c r="BW60" s="45">
        <f t="shared" si="28"/>
        <v>19589187.129379246</v>
      </c>
      <c r="BX60" s="45">
        <f t="shared" si="28"/>
        <v>8251470.7469915422</v>
      </c>
      <c r="BY60" s="45">
        <f t="shared" si="28"/>
        <v>2579808.4447239847</v>
      </c>
      <c r="BZ60" s="92">
        <f t="shared" si="4"/>
        <v>4489.9892812063908</v>
      </c>
      <c r="CA60" s="47">
        <f t="shared" si="5"/>
        <v>0.14968209085532574</v>
      </c>
      <c r="CB60" s="42">
        <f t="shared" si="17"/>
        <v>1</v>
      </c>
      <c r="CC60" s="42">
        <f t="shared" si="24"/>
        <v>2</v>
      </c>
      <c r="CD60" s="42">
        <f t="shared" si="24"/>
        <v>3</v>
      </c>
      <c r="CE60" s="42">
        <f t="shared" si="24"/>
        <v>4</v>
      </c>
      <c r="CF60" s="42">
        <f t="shared" si="24"/>
        <v>5</v>
      </c>
      <c r="CG60" s="42">
        <f t="shared" si="24"/>
        <v>6</v>
      </c>
      <c r="CH60" s="42">
        <f t="shared" si="24"/>
        <v>7</v>
      </c>
      <c r="CI60" s="42">
        <f t="shared" si="24"/>
        <v>8</v>
      </c>
      <c r="CJ60" s="42">
        <f t="shared" si="24"/>
        <v>9</v>
      </c>
      <c r="CK60" s="42">
        <f t="shared" si="24"/>
        <v>10</v>
      </c>
      <c r="CL60" s="42">
        <f t="shared" si="24"/>
        <v>11</v>
      </c>
      <c r="CM60" s="42">
        <f t="shared" si="24"/>
        <v>12</v>
      </c>
      <c r="CN60" s="42">
        <f t="shared" si="24"/>
        <v>13</v>
      </c>
      <c r="CO60" s="42">
        <f t="shared" si="24"/>
        <v>14</v>
      </c>
      <c r="CP60" s="42">
        <f t="shared" si="24"/>
        <v>15</v>
      </c>
      <c r="CQ60" s="42">
        <f t="shared" si="24"/>
        <v>16</v>
      </c>
      <c r="CR60" s="42">
        <f t="shared" si="23"/>
        <v>17</v>
      </c>
      <c r="CS60" s="42">
        <f t="shared" si="19"/>
        <v>18</v>
      </c>
      <c r="CT60" s="42">
        <f t="shared" si="19"/>
        <v>19</v>
      </c>
      <c r="CU60" s="42">
        <f t="shared" si="19"/>
        <v>20</v>
      </c>
      <c r="CV60" s="42">
        <f t="shared" si="19"/>
        <v>21</v>
      </c>
      <c r="CW60" s="42">
        <f t="shared" si="19"/>
        <v>22</v>
      </c>
      <c r="CX60" s="42">
        <f t="shared" si="19"/>
        <v>23</v>
      </c>
      <c r="CY60" s="42">
        <f t="shared" si="19"/>
        <v>24</v>
      </c>
      <c r="CZ60" s="42">
        <f t="shared" si="19"/>
        <v>25</v>
      </c>
      <c r="DA60" s="102">
        <f t="shared" si="34"/>
        <v>13358.629000000003</v>
      </c>
      <c r="DB60" s="103">
        <f t="shared" si="35"/>
        <v>15574.126991140947</v>
      </c>
      <c r="DC60" s="103">
        <f t="shared" si="35"/>
        <v>18452.682044545269</v>
      </c>
      <c r="DD60" s="103">
        <f t="shared" si="35"/>
        <v>19478.235086365363</v>
      </c>
      <c r="DE60" s="103">
        <f t="shared" si="35"/>
        <v>22191.9113840719</v>
      </c>
      <c r="DF60" s="103">
        <f t="shared" si="35"/>
        <v>22477.881888870645</v>
      </c>
      <c r="DG60" s="103">
        <f t="shared" si="35"/>
        <v>23798.093269728794</v>
      </c>
      <c r="DH60" s="103">
        <f t="shared" si="35"/>
        <v>23588.675730362724</v>
      </c>
      <c r="DI60" s="103">
        <f t="shared" si="35"/>
        <v>23672.264113550391</v>
      </c>
      <c r="DJ60" s="103">
        <f t="shared" si="35"/>
        <v>24888.636865153963</v>
      </c>
      <c r="DK60" s="103">
        <f t="shared" si="35"/>
        <v>24081.469528058122</v>
      </c>
      <c r="DL60" s="103">
        <f t="shared" si="35"/>
        <v>21971.531394639245</v>
      </c>
      <c r="DM60" s="103">
        <f t="shared" si="35"/>
        <v>19373.888772722861</v>
      </c>
      <c r="DN60" s="103">
        <f t="shared" si="35"/>
        <v>18541.691835769823</v>
      </c>
      <c r="DO60" s="103">
        <f t="shared" si="35"/>
        <v>17213.339458382616</v>
      </c>
      <c r="DP60" s="103">
        <f t="shared" si="35"/>
        <v>15987.231489443508</v>
      </c>
      <c r="DQ60" s="103">
        <f t="shared" si="35"/>
        <v>15407.054528510931</v>
      </c>
      <c r="DR60" s="103">
        <f t="shared" si="36"/>
        <v>16291.029754244802</v>
      </c>
      <c r="DS60" s="103">
        <f t="shared" si="36"/>
        <v>17900.758193869216</v>
      </c>
      <c r="DT60" s="103">
        <f t="shared" si="36"/>
        <v>20827.532928910452</v>
      </c>
      <c r="DU60" s="103">
        <f t="shared" si="36"/>
        <v>24609.095859074616</v>
      </c>
      <c r="DV60" s="103">
        <f t="shared" si="36"/>
        <v>28868.613298860942</v>
      </c>
      <c r="DW60" s="25">
        <f t="shared" si="37"/>
        <v>0</v>
      </c>
      <c r="DX60" s="25">
        <f t="shared" si="38"/>
        <v>2215.4979911409446</v>
      </c>
      <c r="DY60" s="25">
        <f t="shared" si="38"/>
        <v>2878.5550534043214</v>
      </c>
      <c r="DZ60" s="25">
        <f t="shared" si="38"/>
        <v>1025.5530418200942</v>
      </c>
      <c r="EA60" s="25">
        <f t="shared" si="38"/>
        <v>2713.6762977065373</v>
      </c>
      <c r="EB60" s="25">
        <f t="shared" si="38"/>
        <v>285.97050479874451</v>
      </c>
      <c r="EC60" s="25">
        <f t="shared" si="38"/>
        <v>1320.2113808581489</v>
      </c>
      <c r="ED60" s="25">
        <f t="shared" si="38"/>
        <v>-209.41753936606983</v>
      </c>
      <c r="EE60" s="25">
        <f t="shared" si="38"/>
        <v>83.588383187667205</v>
      </c>
      <c r="EF60" s="25">
        <f t="shared" si="38"/>
        <v>1216.3727516035724</v>
      </c>
      <c r="EG60" s="25">
        <f t="shared" si="38"/>
        <v>-807.1673370958415</v>
      </c>
      <c r="EH60" s="25">
        <f t="shared" si="38"/>
        <v>-2109.9381334188765</v>
      </c>
      <c r="EI60" s="25">
        <f t="shared" si="38"/>
        <v>-2597.6426219163841</v>
      </c>
      <c r="EJ60" s="25">
        <f t="shared" si="38"/>
        <v>-832.19693695303795</v>
      </c>
      <c r="EK60" s="25">
        <f t="shared" si="38"/>
        <v>-1328.3523773872075</v>
      </c>
      <c r="EL60" s="25">
        <f t="shared" si="38"/>
        <v>-1226.1079689391081</v>
      </c>
      <c r="EM60" s="25">
        <f t="shared" si="38"/>
        <v>-580.17696093257655</v>
      </c>
      <c r="EN60" s="25">
        <f t="shared" si="39"/>
        <v>883.97522573387141</v>
      </c>
      <c r="EO60" s="25">
        <f t="shared" si="39"/>
        <v>1609.728439624414</v>
      </c>
      <c r="EP60" s="25">
        <f t="shared" si="39"/>
        <v>2926.7747350412355</v>
      </c>
      <c r="EQ60" s="25">
        <f t="shared" si="39"/>
        <v>3781.5629301641638</v>
      </c>
      <c r="ER60" s="25">
        <f t="shared" si="39"/>
        <v>4259.5174397863266</v>
      </c>
      <c r="FO60" s="25" t="str">
        <f t="shared" si="6"/>
        <v>Holt's model3</v>
      </c>
    </row>
    <row r="61" spans="1:171">
      <c r="A61" s="145">
        <v>0.21556852348380756</v>
      </c>
      <c r="B61" s="141">
        <v>6.647037123907077E-3</v>
      </c>
      <c r="C61" s="141">
        <v>0</v>
      </c>
      <c r="D61" s="141"/>
      <c r="E61" s="141"/>
      <c r="F61" s="131"/>
      <c r="G61" s="39" t="s">
        <v>38</v>
      </c>
      <c r="H61" s="40">
        <v>4</v>
      </c>
      <c r="I61" s="41">
        <v>400.44400000000007</v>
      </c>
      <c r="J61" s="41">
        <v>2589.7540000000013</v>
      </c>
      <c r="K61" s="41">
        <v>1336.3789999999999</v>
      </c>
      <c r="L61" s="41">
        <v>1186.7760000000001</v>
      </c>
      <c r="M61" s="41">
        <v>839.32799999999986</v>
      </c>
      <c r="N61" s="41">
        <v>2024.5600000000004</v>
      </c>
      <c r="O61" s="41">
        <v>1502.1150000000002</v>
      </c>
      <c r="P61" s="41">
        <v>1294.5919999999994</v>
      </c>
      <c r="Q61" s="41">
        <v>1067.4629999999997</v>
      </c>
      <c r="R61" s="41">
        <v>2076.5049999999987</v>
      </c>
      <c r="S61" s="41">
        <v>2051.2060000000006</v>
      </c>
      <c r="T61" s="41">
        <v>1039.9769999999999</v>
      </c>
      <c r="U61" s="41">
        <v>922.57100000000003</v>
      </c>
      <c r="V61" s="41">
        <v>380.83800000000002</v>
      </c>
      <c r="W61" s="41">
        <v>2476.893</v>
      </c>
      <c r="X61" s="41">
        <v>453.2119999999997</v>
      </c>
      <c r="Y61" s="41">
        <v>2092.7499999999995</v>
      </c>
      <c r="Z61" s="41">
        <v>823.12700000000018</v>
      </c>
      <c r="AA61" s="41">
        <v>1106.48</v>
      </c>
      <c r="AB61" s="41">
        <v>864.59699999999987</v>
      </c>
      <c r="AC61" s="41">
        <v>1086.4360000000004</v>
      </c>
      <c r="AD61" s="41">
        <v>1891.8890000000001</v>
      </c>
      <c r="AE61" s="150"/>
      <c r="AF61" s="150">
        <f t="shared" si="31"/>
        <v>400.44400000000007</v>
      </c>
      <c r="AG61" s="150">
        <f t="shared" si="31"/>
        <v>875.52736888544052</v>
      </c>
      <c r="AH61" s="150">
        <f t="shared" si="31"/>
        <v>978.66986989244594</v>
      </c>
      <c r="AI61" s="150">
        <f t="shared" si="31"/>
        <v>1027.6265900346714</v>
      </c>
      <c r="AJ61" s="150">
        <f t="shared" si="31"/>
        <v>990.86111841463116</v>
      </c>
      <c r="AK61" s="150">
        <f t="shared" si="31"/>
        <v>1219.0010162881147</v>
      </c>
      <c r="AL61" s="150">
        <f t="shared" si="31"/>
        <v>1285.7441077339843</v>
      </c>
      <c r="AM61" s="150">
        <f t="shared" si="31"/>
        <v>1293.3767408790457</v>
      </c>
      <c r="AN61" s="150">
        <f t="shared" si="31"/>
        <v>1250.0784454092761</v>
      </c>
      <c r="AO61" s="150">
        <f t="shared" si="31"/>
        <v>1434.8157736172009</v>
      </c>
      <c r="AP61" s="150">
        <f t="shared" si="31"/>
        <v>1575.1591012862959</v>
      </c>
      <c r="AQ61" s="150">
        <f t="shared" si="31"/>
        <v>1466.4928244550667</v>
      </c>
      <c r="AR61" s="150">
        <f t="shared" si="31"/>
        <v>1355.1631571855814</v>
      </c>
      <c r="AS61" s="150">
        <f t="shared" si="31"/>
        <v>1149.6559762748402</v>
      </c>
      <c r="AT61" s="150">
        <f t="shared" si="31"/>
        <v>1442.1949436938548</v>
      </c>
      <c r="AU61" s="150">
        <f t="shared" si="31"/>
        <v>1234.0126869459027</v>
      </c>
      <c r="AV61" s="150">
        <f t="shared" si="32"/>
        <v>1425.3712355636076</v>
      </c>
      <c r="AW61" s="150">
        <f t="shared" si="32"/>
        <v>1300.9251979745648</v>
      </c>
      <c r="AX61" s="150">
        <f t="shared" si="32"/>
        <v>1264.1091778323048</v>
      </c>
      <c r="AY61" s="150">
        <f t="shared" si="32"/>
        <v>1182.5147138319619</v>
      </c>
      <c r="AZ61" s="150">
        <f t="shared" si="32"/>
        <v>1166.1932832234108</v>
      </c>
      <c r="BA61" s="148">
        <f t="shared" si="33"/>
        <v>1170.583399093839</v>
      </c>
      <c r="BB61" s="157">
        <f t="shared" si="33"/>
        <v>1174.9735149642672</v>
      </c>
      <c r="BC61" s="157">
        <f t="shared" si="33"/>
        <v>1179.3636308346952</v>
      </c>
      <c r="BD61" s="45" t="str">
        <f t="shared" si="30"/>
        <v/>
      </c>
      <c r="BE61" s="45">
        <f t="shared" si="30"/>
        <v>4793078.276100006</v>
      </c>
      <c r="BF61" s="45">
        <f t="shared" si="30"/>
        <v>212384.22590094991</v>
      </c>
      <c r="BG61" s="45">
        <f t="shared" si="30"/>
        <v>43308.161388342247</v>
      </c>
      <c r="BH61" s="45">
        <f t="shared" si="30"/>
        <v>35456.3590090453</v>
      </c>
      <c r="BI61" s="45">
        <f t="shared" si="30"/>
        <v>1068533.3777908431</v>
      </c>
      <c r="BJ61" s="45">
        <f t="shared" si="30"/>
        <v>80153.527773213806</v>
      </c>
      <c r="BK61" s="45">
        <f t="shared" si="30"/>
        <v>78.285197551010725</v>
      </c>
      <c r="BL61" s="45">
        <f t="shared" si="30"/>
        <v>51037.018317964699</v>
      </c>
      <c r="BM61" s="45">
        <f t="shared" si="30"/>
        <v>682980.85013269261</v>
      </c>
      <c r="BN61" s="45">
        <f t="shared" si="30"/>
        <v>379936.91118023905</v>
      </c>
      <c r="BO61" s="45">
        <f t="shared" si="30"/>
        <v>286419.88153721526</v>
      </c>
      <c r="BP61" s="45">
        <f t="shared" si="30"/>
        <v>295850.95111852844</v>
      </c>
      <c r="BQ61" s="45">
        <f t="shared" si="29"/>
        <v>949309.51192470803</v>
      </c>
      <c r="BR61" s="45">
        <f t="shared" si="29"/>
        <v>1761558.1171468205</v>
      </c>
      <c r="BS61" s="45">
        <f t="shared" si="29"/>
        <v>978087.26291736297</v>
      </c>
      <c r="BT61" s="45">
        <f t="shared" si="28"/>
        <v>737429.77283136989</v>
      </c>
      <c r="BU61" s="45">
        <f t="shared" si="28"/>
        <v>362698.11926959385</v>
      </c>
      <c r="BV61" s="45">
        <f t="shared" si="28"/>
        <v>37808.935015367671</v>
      </c>
      <c r="BW61" s="45">
        <f t="shared" si="28"/>
        <v>159609.98023631124</v>
      </c>
      <c r="BX61" s="45">
        <f t="shared" si="28"/>
        <v>9231.1192516039537</v>
      </c>
      <c r="BY61" s="45">
        <f t="shared" si="28"/>
        <v>526634.27334788768</v>
      </c>
      <c r="BZ61" s="92">
        <f t="shared" si="4"/>
        <v>800.34471494022091</v>
      </c>
      <c r="CA61" s="47">
        <f t="shared" si="5"/>
        <v>0.42303999597239628</v>
      </c>
      <c r="CB61" s="42">
        <f t="shared" si="17"/>
        <v>1</v>
      </c>
      <c r="CC61" s="42">
        <f t="shared" si="24"/>
        <v>2</v>
      </c>
      <c r="CD61" s="42">
        <f t="shared" si="24"/>
        <v>3</v>
      </c>
      <c r="CE61" s="42">
        <f t="shared" si="24"/>
        <v>4</v>
      </c>
      <c r="CF61" s="42">
        <f t="shared" si="24"/>
        <v>5</v>
      </c>
      <c r="CG61" s="42">
        <f t="shared" si="24"/>
        <v>6</v>
      </c>
      <c r="CH61" s="42">
        <f t="shared" si="24"/>
        <v>7</v>
      </c>
      <c r="CI61" s="42">
        <f t="shared" si="24"/>
        <v>8</v>
      </c>
      <c r="CJ61" s="42">
        <f t="shared" si="24"/>
        <v>9</v>
      </c>
      <c r="CK61" s="42">
        <f t="shared" si="24"/>
        <v>10</v>
      </c>
      <c r="CL61" s="42">
        <f t="shared" si="24"/>
        <v>11</v>
      </c>
      <c r="CM61" s="42">
        <f t="shared" si="24"/>
        <v>12</v>
      </c>
      <c r="CN61" s="42">
        <f t="shared" si="24"/>
        <v>13</v>
      </c>
      <c r="CO61" s="42">
        <f t="shared" si="24"/>
        <v>14</v>
      </c>
      <c r="CP61" s="42">
        <f t="shared" si="24"/>
        <v>15</v>
      </c>
      <c r="CQ61" s="42">
        <f t="shared" si="24"/>
        <v>16</v>
      </c>
      <c r="CR61" s="42">
        <f t="shared" si="23"/>
        <v>17</v>
      </c>
      <c r="CS61" s="42">
        <f t="shared" si="19"/>
        <v>18</v>
      </c>
      <c r="CT61" s="42">
        <f t="shared" si="19"/>
        <v>19</v>
      </c>
      <c r="CU61" s="42">
        <f t="shared" si="19"/>
        <v>20</v>
      </c>
      <c r="CV61" s="42">
        <f t="shared" si="19"/>
        <v>21</v>
      </c>
      <c r="CW61" s="42">
        <f t="shared" si="19"/>
        <v>22</v>
      </c>
      <c r="CX61" s="42">
        <f t="shared" si="19"/>
        <v>23</v>
      </c>
      <c r="CY61" s="42">
        <f t="shared" si="19"/>
        <v>24</v>
      </c>
      <c r="CZ61" s="42">
        <f t="shared" si="19"/>
        <v>25</v>
      </c>
      <c r="DA61" s="102">
        <f t="shared" si="34"/>
        <v>400.44400000000007</v>
      </c>
      <c r="DB61" s="103">
        <f t="shared" si="35"/>
        <v>872.39032414833503</v>
      </c>
      <c r="DC61" s="103">
        <f t="shared" si="35"/>
        <v>974.87247454991029</v>
      </c>
      <c r="DD61" s="103">
        <f t="shared" si="35"/>
        <v>1023.5310010876606</v>
      </c>
      <c r="DE61" s="103">
        <f t="shared" si="35"/>
        <v>987.03534100681441</v>
      </c>
      <c r="DF61" s="103">
        <f t="shared" si="35"/>
        <v>1213.6940600448524</v>
      </c>
      <c r="DG61" s="103">
        <f t="shared" si="35"/>
        <v>1280.0314797345045</v>
      </c>
      <c r="DH61" s="103">
        <f t="shared" si="35"/>
        <v>1287.6514348057128</v>
      </c>
      <c r="DI61" s="103">
        <f t="shared" si="35"/>
        <v>1244.6768493230461</v>
      </c>
      <c r="DJ61" s="103">
        <f t="shared" si="35"/>
        <v>1428.2299975502085</v>
      </c>
      <c r="DK61" s="103">
        <f t="shared" si="35"/>
        <v>1567.6901046083908</v>
      </c>
      <c r="DL61" s="103">
        <f t="shared" si="35"/>
        <v>1459.7906859170473</v>
      </c>
      <c r="DM61" s="103">
        <f t="shared" si="35"/>
        <v>1349.2403998666691</v>
      </c>
      <c r="DN61" s="103">
        <f t="shared" si="35"/>
        <v>1145.1293216579568</v>
      </c>
      <c r="DO61" s="103">
        <f t="shared" si="35"/>
        <v>1435.7665017923161</v>
      </c>
      <c r="DP61" s="103">
        <f t="shared" si="35"/>
        <v>1229.0013507711008</v>
      </c>
      <c r="DQ61" s="103">
        <f t="shared" si="35"/>
        <v>1419.1294215814266</v>
      </c>
      <c r="DR61" s="103">
        <f t="shared" si="36"/>
        <v>1295.5463349265262</v>
      </c>
      <c r="DS61" s="103">
        <f t="shared" si="36"/>
        <v>1259.0089337486711</v>
      </c>
      <c r="DT61" s="103">
        <f t="shared" si="36"/>
        <v>1177.9869275431945</v>
      </c>
      <c r="DU61" s="103">
        <f t="shared" si="36"/>
        <v>1161.8031673529827</v>
      </c>
      <c r="DV61" s="103">
        <f t="shared" si="36"/>
        <v>1322.6304373874634</v>
      </c>
      <c r="DW61" s="25">
        <f t="shared" si="37"/>
        <v>0</v>
      </c>
      <c r="DX61" s="25">
        <f t="shared" si="38"/>
        <v>3.1370447371054655</v>
      </c>
      <c r="DY61" s="25">
        <f t="shared" si="38"/>
        <v>3.7973953425356672</v>
      </c>
      <c r="DZ61" s="25">
        <f t="shared" si="38"/>
        <v>4.0955889470107243</v>
      </c>
      <c r="EA61" s="25">
        <f t="shared" si="38"/>
        <v>3.8257774078168025</v>
      </c>
      <c r="EB61" s="25">
        <f t="shared" si="38"/>
        <v>5.3069562432623014</v>
      </c>
      <c r="EC61" s="25">
        <f t="shared" si="38"/>
        <v>5.7126279994797073</v>
      </c>
      <c r="ED61" s="25">
        <f t="shared" si="38"/>
        <v>5.72530607333292</v>
      </c>
      <c r="EE61" s="25">
        <f t="shared" si="38"/>
        <v>5.4015960862299419</v>
      </c>
      <c r="EF61" s="25">
        <f t="shared" si="38"/>
        <v>6.5857760669923868</v>
      </c>
      <c r="EG61" s="25">
        <f t="shared" si="38"/>
        <v>7.4689966779051424</v>
      </c>
      <c r="EH61" s="25">
        <f t="shared" si="38"/>
        <v>6.7021385380194145</v>
      </c>
      <c r="EI61" s="25">
        <f t="shared" si="38"/>
        <v>5.9227573189122209</v>
      </c>
      <c r="EJ61" s="25">
        <f t="shared" si="38"/>
        <v>4.5266546168835067</v>
      </c>
      <c r="EK61" s="25">
        <f t="shared" si="38"/>
        <v>6.4284419015387311</v>
      </c>
      <c r="EL61" s="25">
        <f t="shared" si="38"/>
        <v>5.0113361748020511</v>
      </c>
      <c r="EM61" s="25">
        <f t="shared" si="38"/>
        <v>6.2418139821808323</v>
      </c>
      <c r="EN61" s="25">
        <f t="shared" si="39"/>
        <v>5.378863048038605</v>
      </c>
      <c r="EO61" s="25">
        <f t="shared" si="39"/>
        <v>5.1002440836335907</v>
      </c>
      <c r="EP61" s="25">
        <f t="shared" si="39"/>
        <v>4.5277862887674587</v>
      </c>
      <c r="EQ61" s="25">
        <f t="shared" si="39"/>
        <v>4.390115870428156</v>
      </c>
      <c r="ER61" s="25">
        <f t="shared" si="39"/>
        <v>5.4299594417149875</v>
      </c>
      <c r="FO61" s="25" t="str">
        <f t="shared" si="6"/>
        <v>Holt's model4</v>
      </c>
    </row>
    <row r="62" spans="1:171">
      <c r="A62" s="145">
        <v>1</v>
      </c>
      <c r="B62" s="141">
        <v>0</v>
      </c>
      <c r="C62" s="141">
        <v>0</v>
      </c>
      <c r="D62" s="141"/>
      <c r="E62" s="141"/>
      <c r="F62" s="124"/>
      <c r="G62" s="39" t="s">
        <v>38</v>
      </c>
      <c r="H62" s="40">
        <v>5</v>
      </c>
      <c r="I62" s="41">
        <v>590.74400000000014</v>
      </c>
      <c r="J62" s="41">
        <v>126.19599999999998</v>
      </c>
      <c r="K62" s="41">
        <v>73.710000000000008</v>
      </c>
      <c r="L62" s="41">
        <v>245.74300000000002</v>
      </c>
      <c r="M62" s="41">
        <v>257</v>
      </c>
      <c r="N62" s="41">
        <v>246</v>
      </c>
      <c r="O62" s="41">
        <v>142</v>
      </c>
      <c r="P62" s="41">
        <v>141</v>
      </c>
      <c r="Q62" s="41">
        <v>140</v>
      </c>
      <c r="R62" s="41">
        <v>269</v>
      </c>
      <c r="S62" s="41">
        <v>255</v>
      </c>
      <c r="T62" s="41">
        <v>268</v>
      </c>
      <c r="U62" s="41">
        <v>148</v>
      </c>
      <c r="V62" s="41">
        <v>141</v>
      </c>
      <c r="W62" s="41">
        <v>130</v>
      </c>
      <c r="X62" s="41">
        <v>256</v>
      </c>
      <c r="Y62" s="41">
        <v>263</v>
      </c>
      <c r="Z62" s="41">
        <v>278</v>
      </c>
      <c r="AA62" s="41">
        <v>133</v>
      </c>
      <c r="AB62" s="41">
        <v>133</v>
      </c>
      <c r="AC62" s="41">
        <v>148</v>
      </c>
      <c r="AD62" s="41">
        <v>273</v>
      </c>
      <c r="AE62" s="150"/>
      <c r="AF62" s="150">
        <f t="shared" si="31"/>
        <v>590.74400000000014</v>
      </c>
      <c r="AG62" s="150">
        <f t="shared" si="31"/>
        <v>126.19599999999998</v>
      </c>
      <c r="AH62" s="150">
        <f t="shared" si="31"/>
        <v>73.710000000000008</v>
      </c>
      <c r="AI62" s="150">
        <f t="shared" si="31"/>
        <v>245.74300000000002</v>
      </c>
      <c r="AJ62" s="150">
        <f t="shared" si="31"/>
        <v>257</v>
      </c>
      <c r="AK62" s="150">
        <f t="shared" si="31"/>
        <v>246</v>
      </c>
      <c r="AL62" s="150">
        <f t="shared" si="31"/>
        <v>142</v>
      </c>
      <c r="AM62" s="150">
        <f t="shared" si="31"/>
        <v>141</v>
      </c>
      <c r="AN62" s="150">
        <f t="shared" si="31"/>
        <v>140</v>
      </c>
      <c r="AO62" s="150">
        <f t="shared" si="31"/>
        <v>269</v>
      </c>
      <c r="AP62" s="150">
        <f t="shared" si="31"/>
        <v>255</v>
      </c>
      <c r="AQ62" s="150">
        <f t="shared" si="31"/>
        <v>268</v>
      </c>
      <c r="AR62" s="150">
        <f t="shared" si="31"/>
        <v>148</v>
      </c>
      <c r="AS62" s="150">
        <f t="shared" si="31"/>
        <v>141</v>
      </c>
      <c r="AT62" s="150">
        <f t="shared" si="31"/>
        <v>130</v>
      </c>
      <c r="AU62" s="150">
        <f t="shared" si="31"/>
        <v>256</v>
      </c>
      <c r="AV62" s="150">
        <f t="shared" si="32"/>
        <v>263</v>
      </c>
      <c r="AW62" s="150">
        <f t="shared" si="32"/>
        <v>278</v>
      </c>
      <c r="AX62" s="150">
        <f t="shared" si="32"/>
        <v>133</v>
      </c>
      <c r="AY62" s="150">
        <f t="shared" si="32"/>
        <v>133</v>
      </c>
      <c r="AZ62" s="150">
        <f t="shared" si="32"/>
        <v>148</v>
      </c>
      <c r="BA62" s="148">
        <f t="shared" si="33"/>
        <v>148</v>
      </c>
      <c r="BB62" s="157">
        <f t="shared" si="33"/>
        <v>148</v>
      </c>
      <c r="BC62" s="157">
        <f t="shared" si="33"/>
        <v>148</v>
      </c>
      <c r="BD62" s="45" t="str">
        <f t="shared" si="30"/>
        <v/>
      </c>
      <c r="BE62" s="45">
        <f t="shared" si="30"/>
        <v>215804.84430400017</v>
      </c>
      <c r="BF62" s="45">
        <f t="shared" si="30"/>
        <v>2754.7801959999974</v>
      </c>
      <c r="BG62" s="45">
        <f t="shared" si="30"/>
        <v>29595.353089000004</v>
      </c>
      <c r="BH62" s="45">
        <f t="shared" si="30"/>
        <v>126.72004899999948</v>
      </c>
      <c r="BI62" s="45">
        <f t="shared" si="30"/>
        <v>121</v>
      </c>
      <c r="BJ62" s="45">
        <f t="shared" si="30"/>
        <v>10816</v>
      </c>
      <c r="BK62" s="45">
        <f t="shared" si="30"/>
        <v>1</v>
      </c>
      <c r="BL62" s="45">
        <f t="shared" si="30"/>
        <v>1</v>
      </c>
      <c r="BM62" s="45">
        <f t="shared" si="30"/>
        <v>16641</v>
      </c>
      <c r="BN62" s="45">
        <f t="shared" si="30"/>
        <v>196</v>
      </c>
      <c r="BO62" s="45">
        <f t="shared" si="30"/>
        <v>169</v>
      </c>
      <c r="BP62" s="45">
        <f t="shared" si="30"/>
        <v>14400</v>
      </c>
      <c r="BQ62" s="45">
        <f t="shared" si="29"/>
        <v>49</v>
      </c>
      <c r="BR62" s="45">
        <f t="shared" si="29"/>
        <v>121</v>
      </c>
      <c r="BS62" s="45">
        <f t="shared" si="29"/>
        <v>15876</v>
      </c>
      <c r="BT62" s="45">
        <f t="shared" si="28"/>
        <v>49</v>
      </c>
      <c r="BU62" s="45">
        <f t="shared" si="28"/>
        <v>225</v>
      </c>
      <c r="BV62" s="45">
        <f t="shared" si="28"/>
        <v>21025</v>
      </c>
      <c r="BW62" s="45">
        <f t="shared" si="28"/>
        <v>0</v>
      </c>
      <c r="BX62" s="45">
        <f t="shared" si="28"/>
        <v>225</v>
      </c>
      <c r="BY62" s="45">
        <f t="shared" si="28"/>
        <v>15625</v>
      </c>
      <c r="BZ62" s="92">
        <f t="shared" si="4"/>
        <v>127.95492093814025</v>
      </c>
      <c r="CA62" s="47">
        <f t="shared" si="5"/>
        <v>0.46869934409575181</v>
      </c>
      <c r="CB62" s="42">
        <f t="shared" si="17"/>
        <v>1</v>
      </c>
      <c r="CC62" s="42">
        <f t="shared" si="24"/>
        <v>2</v>
      </c>
      <c r="CD62" s="42">
        <f t="shared" si="24"/>
        <v>3</v>
      </c>
      <c r="CE62" s="42">
        <f t="shared" si="24"/>
        <v>4</v>
      </c>
      <c r="CF62" s="42">
        <f t="shared" si="24"/>
        <v>5</v>
      </c>
      <c r="CG62" s="42">
        <f t="shared" si="24"/>
        <v>6</v>
      </c>
      <c r="CH62" s="42">
        <f t="shared" si="24"/>
        <v>7</v>
      </c>
      <c r="CI62" s="42">
        <f t="shared" si="24"/>
        <v>8</v>
      </c>
      <c r="CJ62" s="42">
        <f t="shared" si="24"/>
        <v>9</v>
      </c>
      <c r="CK62" s="42">
        <f t="shared" si="24"/>
        <v>10</v>
      </c>
      <c r="CL62" s="42">
        <f t="shared" si="24"/>
        <v>11</v>
      </c>
      <c r="CM62" s="42">
        <f t="shared" si="24"/>
        <v>12</v>
      </c>
      <c r="CN62" s="42">
        <f t="shared" si="24"/>
        <v>13</v>
      </c>
      <c r="CO62" s="42">
        <f t="shared" si="24"/>
        <v>14</v>
      </c>
      <c r="CP62" s="42">
        <f t="shared" si="24"/>
        <v>15</v>
      </c>
      <c r="CQ62" s="42">
        <f t="shared" si="24"/>
        <v>16</v>
      </c>
      <c r="CR62" s="42">
        <f t="shared" si="23"/>
        <v>17</v>
      </c>
      <c r="CS62" s="42">
        <f t="shared" si="19"/>
        <v>18</v>
      </c>
      <c r="CT62" s="42">
        <f t="shared" si="19"/>
        <v>19</v>
      </c>
      <c r="CU62" s="42">
        <f t="shared" si="19"/>
        <v>20</v>
      </c>
      <c r="CV62" s="42">
        <f t="shared" si="19"/>
        <v>21</v>
      </c>
      <c r="CW62" s="42">
        <f t="shared" si="19"/>
        <v>22</v>
      </c>
      <c r="CX62" s="42">
        <f t="shared" si="19"/>
        <v>23</v>
      </c>
      <c r="CY62" s="42">
        <f t="shared" si="19"/>
        <v>24</v>
      </c>
      <c r="CZ62" s="42">
        <f t="shared" ref="CZ62:CZ84" si="40">IF(CY62&lt;&gt;"",CY62+1,IF(AG62=0,"",1))</f>
        <v>25</v>
      </c>
      <c r="DA62" s="102">
        <f t="shared" si="34"/>
        <v>590.74400000000014</v>
      </c>
      <c r="DB62" s="103">
        <f t="shared" si="35"/>
        <v>126.19599999999998</v>
      </c>
      <c r="DC62" s="103">
        <f t="shared" si="35"/>
        <v>73.710000000000008</v>
      </c>
      <c r="DD62" s="103">
        <f t="shared" si="35"/>
        <v>245.74300000000002</v>
      </c>
      <c r="DE62" s="103">
        <f t="shared" si="35"/>
        <v>257</v>
      </c>
      <c r="DF62" s="103">
        <f t="shared" si="35"/>
        <v>246</v>
      </c>
      <c r="DG62" s="103">
        <f t="shared" si="35"/>
        <v>142</v>
      </c>
      <c r="DH62" s="103">
        <f t="shared" si="35"/>
        <v>141</v>
      </c>
      <c r="DI62" s="103">
        <f t="shared" si="35"/>
        <v>140</v>
      </c>
      <c r="DJ62" s="103">
        <f t="shared" si="35"/>
        <v>269</v>
      </c>
      <c r="DK62" s="103">
        <f t="shared" si="35"/>
        <v>255</v>
      </c>
      <c r="DL62" s="103">
        <f t="shared" si="35"/>
        <v>268</v>
      </c>
      <c r="DM62" s="103">
        <f t="shared" si="35"/>
        <v>148</v>
      </c>
      <c r="DN62" s="103">
        <f t="shared" si="35"/>
        <v>141</v>
      </c>
      <c r="DO62" s="103">
        <f t="shared" si="35"/>
        <v>130</v>
      </c>
      <c r="DP62" s="103">
        <f t="shared" si="35"/>
        <v>256</v>
      </c>
      <c r="DQ62" s="103">
        <f t="shared" si="35"/>
        <v>263</v>
      </c>
      <c r="DR62" s="103">
        <f t="shared" si="36"/>
        <v>278</v>
      </c>
      <c r="DS62" s="103">
        <f t="shared" si="36"/>
        <v>133</v>
      </c>
      <c r="DT62" s="103">
        <f t="shared" si="36"/>
        <v>133</v>
      </c>
      <c r="DU62" s="103">
        <f t="shared" si="36"/>
        <v>148</v>
      </c>
      <c r="DV62" s="103">
        <f t="shared" si="36"/>
        <v>273</v>
      </c>
      <c r="DW62" s="25">
        <f t="shared" si="37"/>
        <v>0</v>
      </c>
      <c r="DX62" s="25">
        <f t="shared" si="38"/>
        <v>0</v>
      </c>
      <c r="DY62" s="25">
        <f t="shared" si="38"/>
        <v>0</v>
      </c>
      <c r="DZ62" s="25">
        <f t="shared" si="38"/>
        <v>0</v>
      </c>
      <c r="EA62" s="25">
        <f t="shared" si="38"/>
        <v>0</v>
      </c>
      <c r="EB62" s="25">
        <f t="shared" si="38"/>
        <v>0</v>
      </c>
      <c r="EC62" s="25">
        <f t="shared" si="38"/>
        <v>0</v>
      </c>
      <c r="ED62" s="25">
        <f t="shared" si="38"/>
        <v>0</v>
      </c>
      <c r="EE62" s="25">
        <f t="shared" si="38"/>
        <v>0</v>
      </c>
      <c r="EF62" s="25">
        <f t="shared" si="38"/>
        <v>0</v>
      </c>
      <c r="EG62" s="25">
        <f t="shared" si="38"/>
        <v>0</v>
      </c>
      <c r="EH62" s="25">
        <f t="shared" si="38"/>
        <v>0</v>
      </c>
      <c r="EI62" s="25">
        <f t="shared" si="38"/>
        <v>0</v>
      </c>
      <c r="EJ62" s="25">
        <f t="shared" si="38"/>
        <v>0</v>
      </c>
      <c r="EK62" s="25">
        <f t="shared" si="38"/>
        <v>0</v>
      </c>
      <c r="EL62" s="25">
        <f t="shared" si="38"/>
        <v>0</v>
      </c>
      <c r="EM62" s="25">
        <f t="shared" si="38"/>
        <v>0</v>
      </c>
      <c r="EN62" s="25">
        <f t="shared" si="39"/>
        <v>0</v>
      </c>
      <c r="EO62" s="25">
        <f t="shared" si="39"/>
        <v>0</v>
      </c>
      <c r="EP62" s="25">
        <f t="shared" si="39"/>
        <v>0</v>
      </c>
      <c r="EQ62" s="25">
        <f t="shared" si="39"/>
        <v>0</v>
      </c>
      <c r="ER62" s="25">
        <f t="shared" si="39"/>
        <v>0</v>
      </c>
      <c r="FO62" s="25" t="str">
        <f t="shared" si="6"/>
        <v>Holt's model5</v>
      </c>
    </row>
    <row r="63" spans="1:171">
      <c r="A63" s="145">
        <v>0.43906080558204674</v>
      </c>
      <c r="B63" s="141">
        <v>0</v>
      </c>
      <c r="C63" s="141">
        <v>0</v>
      </c>
      <c r="D63" s="141"/>
      <c r="E63" s="141"/>
      <c r="F63" s="131"/>
      <c r="G63" s="39" t="s">
        <v>38</v>
      </c>
      <c r="H63" s="40">
        <v>6</v>
      </c>
      <c r="I63" s="41"/>
      <c r="J63" s="41"/>
      <c r="K63" s="41"/>
      <c r="L63" s="41"/>
      <c r="M63" s="41"/>
      <c r="N63" s="41"/>
      <c r="O63" s="41">
        <v>266.03799999999995</v>
      </c>
      <c r="P63" s="41">
        <v>232.57400000000007</v>
      </c>
      <c r="Q63" s="41">
        <v>115.23299999999999</v>
      </c>
      <c r="R63" s="41">
        <v>203.98799999999997</v>
      </c>
      <c r="S63" s="41">
        <v>180.53700000000001</v>
      </c>
      <c r="T63" s="41">
        <v>869.18299999999977</v>
      </c>
      <c r="U63" s="41">
        <v>1078.4489999999998</v>
      </c>
      <c r="V63" s="41">
        <v>1258.0669999999996</v>
      </c>
      <c r="W63" s="41">
        <v>1027.184</v>
      </c>
      <c r="X63" s="41">
        <v>624.39099999999996</v>
      </c>
      <c r="Y63" s="41">
        <v>1201.8340000000001</v>
      </c>
      <c r="Z63" s="41">
        <v>548.27800000000002</v>
      </c>
      <c r="AA63" s="41">
        <v>1219.8130000000006</v>
      </c>
      <c r="AB63" s="41">
        <v>393.93799999999987</v>
      </c>
      <c r="AC63" s="41">
        <v>240.81100000000015</v>
      </c>
      <c r="AD63" s="41">
        <v>1097.4179999999999</v>
      </c>
      <c r="AE63" s="150"/>
      <c r="AF63" s="150" t="str">
        <f t="shared" si="31"/>
        <v/>
      </c>
      <c r="AG63" s="150" t="str">
        <f t="shared" si="31"/>
        <v/>
      </c>
      <c r="AH63" s="150" t="str">
        <f t="shared" si="31"/>
        <v/>
      </c>
      <c r="AI63" s="150" t="str">
        <f t="shared" si="31"/>
        <v/>
      </c>
      <c r="AJ63" s="150" t="str">
        <f t="shared" si="31"/>
        <v/>
      </c>
      <c r="AK63" s="150" t="str">
        <f t="shared" si="31"/>
        <v/>
      </c>
      <c r="AL63" s="150">
        <f t="shared" si="31"/>
        <v>266.03799999999995</v>
      </c>
      <c r="AM63" s="150">
        <f t="shared" si="31"/>
        <v>251.34526920200238</v>
      </c>
      <c r="AN63" s="150">
        <f t="shared" si="31"/>
        <v>191.58370663657081</v>
      </c>
      <c r="AO63" s="150">
        <f t="shared" si="31"/>
        <v>197.02994567339405</v>
      </c>
      <c r="AP63" s="150">
        <f t="shared" si="31"/>
        <v>189.78853965961275</v>
      </c>
      <c r="AQ63" s="150">
        <f t="shared" si="31"/>
        <v>488.08401872464299</v>
      </c>
      <c r="AR63" s="150">
        <f t="shared" si="31"/>
        <v>747.2901429908311</v>
      </c>
      <c r="AS63" s="150">
        <f t="shared" si="31"/>
        <v>971.55224130194256</v>
      </c>
      <c r="AT63" s="150">
        <f t="shared" si="31"/>
        <v>995.97796609185775</v>
      </c>
      <c r="AU63" s="150">
        <f t="shared" si="31"/>
        <v>832.82869341577793</v>
      </c>
      <c r="AV63" s="150">
        <f t="shared" si="32"/>
        <v>994.84446058869662</v>
      </c>
      <c r="AW63" s="150">
        <f t="shared" si="32"/>
        <v>798.7746306567002</v>
      </c>
      <c r="AX63" s="150">
        <f t="shared" si="32"/>
        <v>983.63607628152101</v>
      </c>
      <c r="AY63" s="150">
        <f t="shared" si="32"/>
        <v>724.72276385917314</v>
      </c>
      <c r="AZ63" s="150">
        <f t="shared" si="32"/>
        <v>512.25607498853549</v>
      </c>
      <c r="BA63" s="148">
        <f t="shared" si="33"/>
        <v>512.25607498853549</v>
      </c>
      <c r="BB63" s="157">
        <f t="shared" si="33"/>
        <v>512.25607498853549</v>
      </c>
      <c r="BC63" s="157">
        <f t="shared" si="33"/>
        <v>512.25607498853549</v>
      </c>
      <c r="BD63" s="45" t="str">
        <f t="shared" si="30"/>
        <v/>
      </c>
      <c r="BE63" s="45" t="str">
        <f t="shared" si="30"/>
        <v/>
      </c>
      <c r="BF63" s="45" t="str">
        <f t="shared" si="30"/>
        <v/>
      </c>
      <c r="BG63" s="45" t="str">
        <f t="shared" si="30"/>
        <v/>
      </c>
      <c r="BH63" s="45" t="str">
        <f t="shared" si="30"/>
        <v/>
      </c>
      <c r="BI63" s="45" t="str">
        <f t="shared" si="30"/>
        <v/>
      </c>
      <c r="BJ63" s="45" t="str">
        <f t="shared" si="30"/>
        <v/>
      </c>
      <c r="BK63" s="45">
        <f t="shared" si="30"/>
        <v>1119.8392959999924</v>
      </c>
      <c r="BL63" s="45">
        <f t="shared" si="30"/>
        <v>18526.549827318366</v>
      </c>
      <c r="BM63" s="45">
        <f t="shared" si="30"/>
        <v>153.86649384601273</v>
      </c>
      <c r="BN63" s="45">
        <f t="shared" si="30"/>
        <v>272.01725698552741</v>
      </c>
      <c r="BO63" s="45">
        <f t="shared" si="30"/>
        <v>461576.8327412057</v>
      </c>
      <c r="BP63" s="45">
        <f t="shared" si="30"/>
        <v>348530.81111625244</v>
      </c>
      <c r="BQ63" s="45">
        <f t="shared" si="29"/>
        <v>260892.99765616452</v>
      </c>
      <c r="BR63" s="45">
        <f t="shared" si="29"/>
        <v>3094.8925758388864</v>
      </c>
      <c r="BS63" s="45">
        <f t="shared" si="29"/>
        <v>138076.87336935147</v>
      </c>
      <c r="BT63" s="45">
        <f t="shared" si="28"/>
        <v>136164.91628731578</v>
      </c>
      <c r="BU63" s="45">
        <f t="shared" si="28"/>
        <v>199421.60372271592</v>
      </c>
      <c r="BV63" s="45">
        <f t="shared" si="28"/>
        <v>177273.30845926542</v>
      </c>
      <c r="BW63" s="45">
        <f t="shared" si="28"/>
        <v>347743.82117012673</v>
      </c>
      <c r="BX63" s="45">
        <f t="shared" si="28"/>
        <v>234170.595201296</v>
      </c>
      <c r="BY63" s="45">
        <f t="shared" si="28"/>
        <v>342414.47848312272</v>
      </c>
      <c r="BZ63" s="92">
        <f t="shared" si="4"/>
        <v>421.85569441510887</v>
      </c>
      <c r="CA63" s="47">
        <f t="shared" si="5"/>
        <v>0.38440748594893553</v>
      </c>
      <c r="CB63" s="42" t="str">
        <f t="shared" si="17"/>
        <v/>
      </c>
      <c r="CC63" s="42" t="str">
        <f t="shared" si="24"/>
        <v/>
      </c>
      <c r="CD63" s="42" t="str">
        <f t="shared" si="24"/>
        <v/>
      </c>
      <c r="CE63" s="42" t="str">
        <f t="shared" si="24"/>
        <v/>
      </c>
      <c r="CF63" s="42" t="str">
        <f t="shared" si="24"/>
        <v/>
      </c>
      <c r="CG63" s="42" t="str">
        <f t="shared" si="24"/>
        <v/>
      </c>
      <c r="CH63" s="42">
        <f t="shared" si="24"/>
        <v>1</v>
      </c>
      <c r="CI63" s="42">
        <f t="shared" si="24"/>
        <v>2</v>
      </c>
      <c r="CJ63" s="42">
        <f t="shared" si="24"/>
        <v>3</v>
      </c>
      <c r="CK63" s="42">
        <f t="shared" si="24"/>
        <v>4</v>
      </c>
      <c r="CL63" s="42">
        <f t="shared" si="24"/>
        <v>5</v>
      </c>
      <c r="CM63" s="42">
        <f t="shared" si="24"/>
        <v>6</v>
      </c>
      <c r="CN63" s="42">
        <f t="shared" si="24"/>
        <v>7</v>
      </c>
      <c r="CO63" s="42">
        <f t="shared" si="24"/>
        <v>8</v>
      </c>
      <c r="CP63" s="42">
        <f t="shared" si="24"/>
        <v>9</v>
      </c>
      <c r="CQ63" s="42">
        <f t="shared" si="24"/>
        <v>10</v>
      </c>
      <c r="CR63" s="42">
        <f t="shared" si="23"/>
        <v>11</v>
      </c>
      <c r="CS63" s="42">
        <f t="shared" si="23"/>
        <v>12</v>
      </c>
      <c r="CT63" s="42">
        <f t="shared" si="23"/>
        <v>13</v>
      </c>
      <c r="CU63" s="42">
        <f t="shared" si="23"/>
        <v>14</v>
      </c>
      <c r="CV63" s="42">
        <f t="shared" si="23"/>
        <v>15</v>
      </c>
      <c r="CW63" s="42">
        <f t="shared" si="23"/>
        <v>16</v>
      </c>
      <c r="CX63" s="42">
        <f t="shared" si="23"/>
        <v>17</v>
      </c>
      <c r="CY63" s="42">
        <f t="shared" si="23"/>
        <v>18</v>
      </c>
      <c r="CZ63" s="42">
        <f t="shared" si="40"/>
        <v>19</v>
      </c>
      <c r="DA63" s="102" t="str">
        <f t="shared" si="34"/>
        <v/>
      </c>
      <c r="DB63" s="103" t="str">
        <f t="shared" si="35"/>
        <v/>
      </c>
      <c r="DC63" s="103" t="str">
        <f t="shared" si="35"/>
        <v/>
      </c>
      <c r="DD63" s="103" t="str">
        <f t="shared" si="35"/>
        <v/>
      </c>
      <c r="DE63" s="103" t="str">
        <f t="shared" si="35"/>
        <v/>
      </c>
      <c r="DF63" s="103" t="str">
        <f t="shared" si="35"/>
        <v/>
      </c>
      <c r="DG63" s="103">
        <f t="shared" si="35"/>
        <v>266.03799999999995</v>
      </c>
      <c r="DH63" s="103">
        <f t="shared" si="35"/>
        <v>251.34526920200238</v>
      </c>
      <c r="DI63" s="103">
        <f t="shared" si="35"/>
        <v>191.58370663657081</v>
      </c>
      <c r="DJ63" s="103">
        <f t="shared" si="35"/>
        <v>197.02994567339405</v>
      </c>
      <c r="DK63" s="103">
        <f t="shared" si="35"/>
        <v>189.78853965961275</v>
      </c>
      <c r="DL63" s="103">
        <f t="shared" si="35"/>
        <v>488.08401872464299</v>
      </c>
      <c r="DM63" s="103">
        <f t="shared" si="35"/>
        <v>747.2901429908311</v>
      </c>
      <c r="DN63" s="103">
        <f t="shared" si="35"/>
        <v>971.55224130194256</v>
      </c>
      <c r="DO63" s="103">
        <f t="shared" si="35"/>
        <v>995.97796609185775</v>
      </c>
      <c r="DP63" s="103">
        <f t="shared" si="35"/>
        <v>832.82869341577793</v>
      </c>
      <c r="DQ63" s="103">
        <f t="shared" si="35"/>
        <v>994.84446058869662</v>
      </c>
      <c r="DR63" s="103">
        <f t="shared" si="36"/>
        <v>798.7746306567002</v>
      </c>
      <c r="DS63" s="103">
        <f t="shared" si="36"/>
        <v>983.63607628152101</v>
      </c>
      <c r="DT63" s="103">
        <f t="shared" si="36"/>
        <v>724.72276385917314</v>
      </c>
      <c r="DU63" s="103">
        <f t="shared" si="36"/>
        <v>512.25607498853549</v>
      </c>
      <c r="DV63" s="103">
        <f t="shared" si="36"/>
        <v>769.17774118001034</v>
      </c>
      <c r="DW63" s="25" t="str">
        <f t="shared" si="37"/>
        <v/>
      </c>
      <c r="DX63" s="25" t="str">
        <f t="shared" si="38"/>
        <v/>
      </c>
      <c r="DY63" s="25" t="str">
        <f t="shared" si="38"/>
        <v/>
      </c>
      <c r="DZ63" s="25" t="str">
        <f t="shared" si="38"/>
        <v/>
      </c>
      <c r="EA63" s="25" t="str">
        <f t="shared" si="38"/>
        <v/>
      </c>
      <c r="EB63" s="25" t="str">
        <f t="shared" si="38"/>
        <v/>
      </c>
      <c r="EC63" s="25">
        <f t="shared" si="38"/>
        <v>0</v>
      </c>
      <c r="ED63" s="25">
        <f t="shared" si="38"/>
        <v>0</v>
      </c>
      <c r="EE63" s="25">
        <f t="shared" si="38"/>
        <v>0</v>
      </c>
      <c r="EF63" s="25">
        <f t="shared" si="38"/>
        <v>0</v>
      </c>
      <c r="EG63" s="25">
        <f t="shared" si="38"/>
        <v>0</v>
      </c>
      <c r="EH63" s="25">
        <f t="shared" si="38"/>
        <v>0</v>
      </c>
      <c r="EI63" s="25">
        <f t="shared" si="38"/>
        <v>0</v>
      </c>
      <c r="EJ63" s="25">
        <f t="shared" si="38"/>
        <v>0</v>
      </c>
      <c r="EK63" s="25">
        <f t="shared" si="38"/>
        <v>0</v>
      </c>
      <c r="EL63" s="25">
        <f t="shared" si="38"/>
        <v>0</v>
      </c>
      <c r="EM63" s="25">
        <f t="shared" si="38"/>
        <v>0</v>
      </c>
      <c r="EN63" s="25">
        <f t="shared" si="39"/>
        <v>0</v>
      </c>
      <c r="EO63" s="25">
        <f t="shared" si="39"/>
        <v>0</v>
      </c>
      <c r="EP63" s="25">
        <f t="shared" si="39"/>
        <v>0</v>
      </c>
      <c r="EQ63" s="25">
        <f t="shared" si="39"/>
        <v>0</v>
      </c>
      <c r="ER63" s="25">
        <f t="shared" si="39"/>
        <v>0</v>
      </c>
      <c r="FO63" s="25" t="str">
        <f t="shared" si="6"/>
        <v>Holt's model6</v>
      </c>
    </row>
    <row r="64" spans="1:171">
      <c r="A64" s="145">
        <v>0.26650846182447574</v>
      </c>
      <c r="B64" s="141">
        <v>4.1229418861277851E-2</v>
      </c>
      <c r="C64" s="141">
        <v>0</v>
      </c>
      <c r="D64" s="141"/>
      <c r="E64" s="141"/>
      <c r="F64" s="124"/>
      <c r="G64" s="39" t="s">
        <v>38</v>
      </c>
      <c r="H64" s="40">
        <v>7</v>
      </c>
      <c r="I64" s="41">
        <v>198</v>
      </c>
      <c r="J64" s="41">
        <v>186</v>
      </c>
      <c r="K64" s="41">
        <v>177.429</v>
      </c>
      <c r="L64" s="41">
        <v>157</v>
      </c>
      <c r="M64" s="41">
        <v>126.622</v>
      </c>
      <c r="N64" s="41">
        <v>177.429</v>
      </c>
      <c r="O64" s="41">
        <v>157</v>
      </c>
      <c r="P64" s="41">
        <v>126.622</v>
      </c>
      <c r="Q64" s="41">
        <v>177.429</v>
      </c>
      <c r="R64" s="41">
        <v>157</v>
      </c>
      <c r="S64" s="41">
        <v>126.622</v>
      </c>
      <c r="T64" s="41">
        <v>177.429</v>
      </c>
      <c r="U64" s="41">
        <v>157</v>
      </c>
      <c r="V64" s="41">
        <v>126.622</v>
      </c>
      <c r="W64" s="41">
        <v>128.38799999999998</v>
      </c>
      <c r="X64" s="41">
        <v>203.08599999999998</v>
      </c>
      <c r="Y64" s="41">
        <v>177.429</v>
      </c>
      <c r="Z64" s="41">
        <v>157</v>
      </c>
      <c r="AA64" s="41">
        <v>126.622</v>
      </c>
      <c r="AB64" s="41">
        <v>165</v>
      </c>
      <c r="AC64" s="41">
        <v>121.236</v>
      </c>
      <c r="AD64" s="41">
        <v>127.90299999999999</v>
      </c>
      <c r="AE64" s="150"/>
      <c r="AF64" s="150">
        <f t="shared" si="31"/>
        <v>198</v>
      </c>
      <c r="AG64" s="150">
        <f t="shared" si="31"/>
        <v>194.67004259007467</v>
      </c>
      <c r="AH64" s="150">
        <f t="shared" si="31"/>
        <v>189.75385859473826</v>
      </c>
      <c r="AI64" s="150">
        <f t="shared" si="31"/>
        <v>180.34347882939994</v>
      </c>
      <c r="AJ64" s="150">
        <f t="shared" si="31"/>
        <v>164.7547598286194</v>
      </c>
      <c r="AK64" s="150">
        <f t="shared" si="31"/>
        <v>167.00032618208689</v>
      </c>
      <c r="AL64" s="150">
        <f t="shared" si="31"/>
        <v>163.0930452600432</v>
      </c>
      <c r="AM64" s="150">
        <f t="shared" si="31"/>
        <v>151.73035026891355</v>
      </c>
      <c r="AN64" s="150">
        <f t="shared" si="31"/>
        <v>157.21878154259446</v>
      </c>
      <c r="AO64" s="150">
        <f t="shared" si="31"/>
        <v>155.7975941039011</v>
      </c>
      <c r="AP64" s="150">
        <f t="shared" si="31"/>
        <v>146.33858998299525</v>
      </c>
      <c r="AQ64" s="150">
        <f t="shared" si="31"/>
        <v>153.28260700401378</v>
      </c>
      <c r="AR64" s="150">
        <f t="shared" si="31"/>
        <v>152.97233003662384</v>
      </c>
      <c r="AS64" s="150">
        <f t="shared" si="31"/>
        <v>144.3592133165904</v>
      </c>
      <c r="AT64" s="150">
        <f t="shared" si="31"/>
        <v>138.3367275124283</v>
      </c>
      <c r="AU64" s="150">
        <f t="shared" si="31"/>
        <v>154.53839851168001</v>
      </c>
      <c r="AV64" s="150">
        <f t="shared" si="32"/>
        <v>159.83590116632175</v>
      </c>
      <c r="AW64" s="150">
        <f t="shared" si="32"/>
        <v>158.24591231952351</v>
      </c>
      <c r="AX64" s="150">
        <f t="shared" si="32"/>
        <v>148.63619170051237</v>
      </c>
      <c r="AY64" s="150">
        <f t="shared" si="32"/>
        <v>151.99541003577258</v>
      </c>
      <c r="AZ64" s="150">
        <f t="shared" si="32"/>
        <v>142.45790787708302</v>
      </c>
      <c r="BA64" s="148">
        <f t="shared" si="33"/>
        <v>141.11804877365554</v>
      </c>
      <c r="BB64" s="157">
        <f t="shared" si="33"/>
        <v>139.77818967022807</v>
      </c>
      <c r="BC64" s="157">
        <f t="shared" si="33"/>
        <v>138.4383305668006</v>
      </c>
      <c r="BD64" s="45" t="str">
        <f t="shared" si="30"/>
        <v/>
      </c>
      <c r="BE64" s="45">
        <f t="shared" si="30"/>
        <v>144</v>
      </c>
      <c r="BF64" s="45">
        <f t="shared" si="30"/>
        <v>297.25354959276871</v>
      </c>
      <c r="BG64" s="45">
        <f t="shared" si="30"/>
        <v>1072.8152528441094</v>
      </c>
      <c r="BH64" s="45">
        <f t="shared" si="30"/>
        <v>2885.9972876176662</v>
      </c>
      <c r="BI64" s="45">
        <f t="shared" si="30"/>
        <v>160.63636392183781</v>
      </c>
      <c r="BJ64" s="45">
        <f t="shared" si="30"/>
        <v>100.00652374813264</v>
      </c>
      <c r="BK64" s="45">
        <f t="shared" si="30"/>
        <v>1330.1371423601195</v>
      </c>
      <c r="BL64" s="45">
        <f t="shared" si="30"/>
        <v>660.42059800106961</v>
      </c>
      <c r="BM64" s="45">
        <f t="shared" si="30"/>
        <v>4.7865363380009927E-2</v>
      </c>
      <c r="BN64" s="45">
        <f t="shared" si="30"/>
        <v>851.21529131558896</v>
      </c>
      <c r="BO64" s="45">
        <f t="shared" si="30"/>
        <v>966.61359502546975</v>
      </c>
      <c r="BP64" s="45">
        <f t="shared" si="30"/>
        <v>13.819010686607378</v>
      </c>
      <c r="BQ64" s="45">
        <f t="shared" si="29"/>
        <v>694.3398930390008</v>
      </c>
      <c r="BR64" s="45">
        <f t="shared" si="29"/>
        <v>255.07965480403521</v>
      </c>
      <c r="BS64" s="45">
        <f t="shared" si="29"/>
        <v>4192.468287669808</v>
      </c>
      <c r="BT64" s="45">
        <f t="shared" si="28"/>
        <v>523.97963649707719</v>
      </c>
      <c r="BU64" s="45">
        <f t="shared" si="28"/>
        <v>8.0423354251450458</v>
      </c>
      <c r="BV64" s="45">
        <f t="shared" si="28"/>
        <v>1000.071830392911</v>
      </c>
      <c r="BW64" s="45">
        <f t="shared" si="28"/>
        <v>267.77422206238026</v>
      </c>
      <c r="BX64" s="45">
        <f t="shared" si="28"/>
        <v>946.14130574878664</v>
      </c>
      <c r="BY64" s="45">
        <f t="shared" si="28"/>
        <v>211.84534331037349</v>
      </c>
      <c r="BZ64" s="92">
        <f t="shared" si="4"/>
        <v>28.100758326851395</v>
      </c>
      <c r="CA64" s="47">
        <f t="shared" si="5"/>
        <v>0.21970366861489876</v>
      </c>
      <c r="CB64" s="42">
        <f t="shared" si="17"/>
        <v>1</v>
      </c>
      <c r="CC64" s="42">
        <f t="shared" ref="CC64:CR80" si="41">IF(CB64&lt;&gt;"",CB64+1,IF(J64=0,"",1))</f>
        <v>2</v>
      </c>
      <c r="CD64" s="42">
        <f t="shared" si="41"/>
        <v>3</v>
      </c>
      <c r="CE64" s="42">
        <f t="shared" si="41"/>
        <v>4</v>
      </c>
      <c r="CF64" s="42">
        <f t="shared" si="41"/>
        <v>5</v>
      </c>
      <c r="CG64" s="42">
        <f t="shared" si="41"/>
        <v>6</v>
      </c>
      <c r="CH64" s="42">
        <f t="shared" si="41"/>
        <v>7</v>
      </c>
      <c r="CI64" s="42">
        <f t="shared" si="41"/>
        <v>8</v>
      </c>
      <c r="CJ64" s="42">
        <f t="shared" si="41"/>
        <v>9</v>
      </c>
      <c r="CK64" s="42">
        <f t="shared" si="41"/>
        <v>10</v>
      </c>
      <c r="CL64" s="42">
        <f t="shared" si="41"/>
        <v>11</v>
      </c>
      <c r="CM64" s="42">
        <f t="shared" si="41"/>
        <v>12</v>
      </c>
      <c r="CN64" s="42">
        <f t="shared" si="41"/>
        <v>13</v>
      </c>
      <c r="CO64" s="42">
        <f t="shared" si="41"/>
        <v>14</v>
      </c>
      <c r="CP64" s="42">
        <f t="shared" si="41"/>
        <v>15</v>
      </c>
      <c r="CQ64" s="42">
        <f t="shared" si="41"/>
        <v>16</v>
      </c>
      <c r="CR64" s="42">
        <f t="shared" si="23"/>
        <v>17</v>
      </c>
      <c r="CS64" s="42">
        <f t="shared" si="23"/>
        <v>18</v>
      </c>
      <c r="CT64" s="42">
        <f t="shared" si="23"/>
        <v>19</v>
      </c>
      <c r="CU64" s="42">
        <f t="shared" si="23"/>
        <v>20</v>
      </c>
      <c r="CV64" s="42">
        <f t="shared" si="23"/>
        <v>21</v>
      </c>
      <c r="CW64" s="42">
        <f t="shared" si="23"/>
        <v>22</v>
      </c>
      <c r="CX64" s="42">
        <f t="shared" si="23"/>
        <v>23</v>
      </c>
      <c r="CY64" s="42">
        <f t="shared" si="23"/>
        <v>24</v>
      </c>
      <c r="CZ64" s="42">
        <f t="shared" si="40"/>
        <v>25</v>
      </c>
      <c r="DA64" s="102">
        <f t="shared" si="34"/>
        <v>198</v>
      </c>
      <c r="DB64" s="103">
        <f t="shared" si="35"/>
        <v>194.80189845810631</v>
      </c>
      <c r="DC64" s="103">
        <f t="shared" si="35"/>
        <v>190.07515884914361</v>
      </c>
      <c r="DD64" s="103">
        <f t="shared" si="35"/>
        <v>181.02467812183818</v>
      </c>
      <c r="DE64" s="103">
        <f t="shared" si="35"/>
        <v>166.02625013964044</v>
      </c>
      <c r="DF64" s="103">
        <f t="shared" si="35"/>
        <v>168.13255208148803</v>
      </c>
      <c r="DG64" s="103">
        <f t="shared" si="35"/>
        <v>164.33515463355587</v>
      </c>
      <c r="DH64" s="103">
        <f t="shared" si="35"/>
        <v>153.37320308665824</v>
      </c>
      <c r="DI64" s="103">
        <f t="shared" si="35"/>
        <v>158.57925787971138</v>
      </c>
      <c r="DJ64" s="103">
        <f t="shared" si="35"/>
        <v>157.16047441020203</v>
      </c>
      <c r="DK64" s="103">
        <f t="shared" si="35"/>
        <v>148.0220513964552</v>
      </c>
      <c r="DL64" s="103">
        <f t="shared" si="35"/>
        <v>154.62444733411945</v>
      </c>
      <c r="DM64" s="103">
        <f t="shared" si="35"/>
        <v>154.27332369337114</v>
      </c>
      <c r="DN64" s="103">
        <f t="shared" si="35"/>
        <v>145.94974410999595</v>
      </c>
      <c r="DO64" s="103">
        <f t="shared" si="35"/>
        <v>140.1027498221153</v>
      </c>
      <c r="DP64" s="103">
        <f t="shared" si="35"/>
        <v>155.59295652734488</v>
      </c>
      <c r="DQ64" s="103">
        <f t="shared" si="35"/>
        <v>160.63893750456921</v>
      </c>
      <c r="DR64" s="103">
        <f t="shared" si="36"/>
        <v>159.08010950859909</v>
      </c>
      <c r="DS64" s="103">
        <f t="shared" si="36"/>
        <v>149.8178720903752</v>
      </c>
      <c r="DT64" s="103">
        <f t="shared" si="36"/>
        <v>152.99728507999941</v>
      </c>
      <c r="DU64" s="103">
        <f t="shared" si="36"/>
        <v>143.79776698051049</v>
      </c>
      <c r="DV64" s="103">
        <f t="shared" si="36"/>
        <v>138.57890176676466</v>
      </c>
      <c r="DW64" s="25">
        <f t="shared" si="37"/>
        <v>0</v>
      </c>
      <c r="DX64" s="25">
        <f t="shared" si="38"/>
        <v>-0.13185586803163357</v>
      </c>
      <c r="DY64" s="25">
        <f t="shared" si="38"/>
        <v>-0.32130025440535592</v>
      </c>
      <c r="DZ64" s="25">
        <f t="shared" si="38"/>
        <v>-0.6811992924382404</v>
      </c>
      <c r="EA64" s="25">
        <f t="shared" si="38"/>
        <v>-1.2714903110210392</v>
      </c>
      <c r="EB64" s="25">
        <f t="shared" si="38"/>
        <v>-1.1322258994011389</v>
      </c>
      <c r="EC64" s="25">
        <f t="shared" si="38"/>
        <v>-1.2421093735126847</v>
      </c>
      <c r="ED64" s="25">
        <f t="shared" si="38"/>
        <v>-1.6428528177446862</v>
      </c>
      <c r="EE64" s="25">
        <f t="shared" si="38"/>
        <v>-1.3604763371169086</v>
      </c>
      <c r="EF64" s="25">
        <f t="shared" si="38"/>
        <v>-1.3628803063009165</v>
      </c>
      <c r="EG64" s="25">
        <f t="shared" si="38"/>
        <v>-1.6834614134599584</v>
      </c>
      <c r="EH64" s="25">
        <f t="shared" si="38"/>
        <v>-1.3418403301056601</v>
      </c>
      <c r="EI64" s="25">
        <f t="shared" si="38"/>
        <v>-1.3009936567472875</v>
      </c>
      <c r="EJ64" s="25">
        <f t="shared" si="38"/>
        <v>-1.5905307934055446</v>
      </c>
      <c r="EK64" s="25">
        <f t="shared" si="38"/>
        <v>-1.7660223096869969</v>
      </c>
      <c r="EL64" s="25">
        <f t="shared" si="38"/>
        <v>-1.0545580156648651</v>
      </c>
      <c r="EM64" s="25">
        <f t="shared" si="38"/>
        <v>-0.80303633824747833</v>
      </c>
      <c r="EN64" s="25">
        <f t="shared" si="39"/>
        <v>-0.8341971890755846</v>
      </c>
      <c r="EO64" s="25">
        <f t="shared" si="39"/>
        <v>-1.1816803898628403</v>
      </c>
      <c r="EP64" s="25">
        <f t="shared" si="39"/>
        <v>-1.0018750442268229</v>
      </c>
      <c r="EQ64" s="25">
        <f t="shared" si="39"/>
        <v>-1.3398591034274696</v>
      </c>
      <c r="ER64" s="25">
        <f t="shared" si="39"/>
        <v>-1.4997882711152413</v>
      </c>
      <c r="FO64" s="25" t="str">
        <f t="shared" si="6"/>
        <v>Holt's model7</v>
      </c>
    </row>
    <row r="65" spans="1:171">
      <c r="A65" s="145">
        <v>0.81575402618037218</v>
      </c>
      <c r="B65" s="141">
        <v>7.6981862111474328E-2</v>
      </c>
      <c r="C65" s="141">
        <v>0</v>
      </c>
      <c r="D65" s="141"/>
      <c r="E65" s="141"/>
      <c r="F65" s="131"/>
      <c r="G65" s="39" t="s">
        <v>38</v>
      </c>
      <c r="H65" s="40">
        <v>8</v>
      </c>
      <c r="I65" s="41">
        <v>6.597999999999999</v>
      </c>
      <c r="J65" s="41">
        <v>14.509</v>
      </c>
      <c r="K65" s="41">
        <v>34</v>
      </c>
      <c r="L65" s="41">
        <v>36.616999999999976</v>
      </c>
      <c r="M65" s="41">
        <v>48.298000000000044</v>
      </c>
      <c r="N65" s="41">
        <v>50.913000000000054</v>
      </c>
      <c r="O65" s="41">
        <v>169.95999999999992</v>
      </c>
      <c r="P65" s="41">
        <v>158.32199999999997</v>
      </c>
      <c r="Q65" s="41">
        <v>169.77099999999999</v>
      </c>
      <c r="R65" s="41">
        <v>180</v>
      </c>
      <c r="S65" s="41">
        <v>127</v>
      </c>
      <c r="T65" s="41">
        <v>143.11099999999993</v>
      </c>
      <c r="U65" s="41">
        <v>167</v>
      </c>
      <c r="V65" s="41">
        <v>150</v>
      </c>
      <c r="W65" s="41">
        <v>199.79</v>
      </c>
      <c r="X65" s="41">
        <v>203.78579999999999</v>
      </c>
      <c r="Y65" s="41">
        <v>216.01294799999999</v>
      </c>
      <c r="Z65" s="41">
        <v>233.29398384000001</v>
      </c>
      <c r="AA65" s="41">
        <v>235.6269236784</v>
      </c>
      <c r="AB65" s="41">
        <v>245.05200062553601</v>
      </c>
      <c r="AC65" s="41">
        <v>259.75512066306817</v>
      </c>
      <c r="AD65" s="41">
        <v>283.13308152274431</v>
      </c>
      <c r="AE65" s="150"/>
      <c r="AF65" s="150">
        <f t="shared" si="31"/>
        <v>6.597999999999999</v>
      </c>
      <c r="AG65" s="150">
        <f t="shared" si="31"/>
        <v>13.548227167302837</v>
      </c>
      <c r="AH65" s="150">
        <f t="shared" si="31"/>
        <v>32.012976093095574</v>
      </c>
      <c r="AI65" s="150">
        <f t="shared" si="31"/>
        <v>37.838984735362502</v>
      </c>
      <c r="AJ65" s="150">
        <f t="shared" si="31"/>
        <v>49.098034152305011</v>
      </c>
      <c r="AK65" s="150">
        <f t="shared" si="31"/>
        <v>53.419642159257052</v>
      </c>
      <c r="AL65" s="150">
        <f t="shared" si="31"/>
        <v>158.64748274336978</v>
      </c>
      <c r="AM65" s="150">
        <f t="shared" si="31"/>
        <v>168.5211035968064</v>
      </c>
      <c r="AN65" s="150">
        <f t="shared" si="31"/>
        <v>179.75833765606347</v>
      </c>
      <c r="AO65" s="150">
        <f t="shared" si="31"/>
        <v>190.18827669781325</v>
      </c>
      <c r="AP65" s="150">
        <f t="shared" si="31"/>
        <v>144.90687350661443</v>
      </c>
      <c r="AQ65" s="150">
        <f t="shared" si="31"/>
        <v>149.59379265701705</v>
      </c>
      <c r="AR65" s="150">
        <f t="shared" si="31"/>
        <v>171.03796617479216</v>
      </c>
      <c r="AS65" s="150">
        <f t="shared" si="31"/>
        <v>159.80000260923293</v>
      </c>
      <c r="AT65" s="150">
        <f t="shared" si="31"/>
        <v>200.85714844378469</v>
      </c>
      <c r="AU65" s="150">
        <f t="shared" si="31"/>
        <v>211.86526643161267</v>
      </c>
      <c r="AV65" s="150">
        <f t="shared" si="32"/>
        <v>224.12828026185952</v>
      </c>
      <c r="AW65" s="150">
        <f t="shared" si="32"/>
        <v>241.06035602270615</v>
      </c>
      <c r="AX65" s="150">
        <f t="shared" si="32"/>
        <v>245.74191775749426</v>
      </c>
      <c r="AY65" s="150">
        <f t="shared" si="32"/>
        <v>254.24969552683959</v>
      </c>
      <c r="AZ65" s="150">
        <f t="shared" si="32"/>
        <v>268.15707983594228</v>
      </c>
      <c r="BA65" s="148">
        <f t="shared" si="33"/>
        <v>277.57339142433193</v>
      </c>
      <c r="BB65" s="157">
        <f t="shared" si="33"/>
        <v>286.98970301272152</v>
      </c>
      <c r="BC65" s="157">
        <f t="shared" si="33"/>
        <v>296.40601460111117</v>
      </c>
      <c r="BD65" s="45" t="str">
        <f t="shared" si="30"/>
        <v/>
      </c>
      <c r="BE65" s="45">
        <f t="shared" si="30"/>
        <v>62.583921000000025</v>
      </c>
      <c r="BF65" s="45">
        <f t="shared" si="30"/>
        <v>418.27501200024972</v>
      </c>
      <c r="BG65" s="45">
        <f t="shared" si="30"/>
        <v>21.197036135347275</v>
      </c>
      <c r="BH65" s="45">
        <f t="shared" si="30"/>
        <v>109.39100030592114</v>
      </c>
      <c r="BI65" s="45">
        <f t="shared" si="30"/>
        <v>3.2941010282993828</v>
      </c>
      <c r="BJ65" s="45">
        <f t="shared" si="30"/>
        <v>13581.655005648397</v>
      </c>
      <c r="BK65" s="45">
        <f t="shared" si="30"/>
        <v>0.10593901623153368</v>
      </c>
      <c r="BL65" s="45">
        <f t="shared" si="30"/>
        <v>1.5622410187162694</v>
      </c>
      <c r="BM65" s="45">
        <f t="shared" si="30"/>
        <v>5.8400688476895446E-2</v>
      </c>
      <c r="BN65" s="45">
        <f t="shared" si="30"/>
        <v>3992.7583120394092</v>
      </c>
      <c r="BO65" s="45">
        <f t="shared" si="30"/>
        <v>3.225161651759854</v>
      </c>
      <c r="BP65" s="45">
        <f t="shared" si="30"/>
        <v>302.97605406691366</v>
      </c>
      <c r="BQ65" s="45">
        <f t="shared" si="29"/>
        <v>442.5960207716991</v>
      </c>
      <c r="BR65" s="45">
        <f t="shared" si="29"/>
        <v>1599.1998913135562</v>
      </c>
      <c r="BS65" s="45">
        <f t="shared" si="29"/>
        <v>8.5769999377222987</v>
      </c>
      <c r="BT65" s="45">
        <f t="shared" si="28"/>
        <v>17.203262392739955</v>
      </c>
      <c r="BU65" s="45">
        <f t="shared" si="28"/>
        <v>84.01012208233746</v>
      </c>
      <c r="BV65" s="45">
        <f t="shared" si="28"/>
        <v>29.522187040152126</v>
      </c>
      <c r="BW65" s="45">
        <f t="shared" si="28"/>
        <v>0.47598564896950224</v>
      </c>
      <c r="BX65" s="45">
        <f t="shared" si="28"/>
        <v>30.30970593061749</v>
      </c>
      <c r="BY65" s="45">
        <f t="shared" si="28"/>
        <v>224.280626523097</v>
      </c>
      <c r="BZ65" s="92">
        <f t="shared" si="4"/>
        <v>31.572484242605192</v>
      </c>
      <c r="CA65" s="47">
        <f t="shared" si="5"/>
        <v>0.11151111015640519</v>
      </c>
      <c r="CB65" s="42">
        <f t="shared" si="17"/>
        <v>1</v>
      </c>
      <c r="CC65" s="42">
        <f t="shared" si="41"/>
        <v>2</v>
      </c>
      <c r="CD65" s="42">
        <f t="shared" si="41"/>
        <v>3</v>
      </c>
      <c r="CE65" s="42">
        <f t="shared" si="41"/>
        <v>4</v>
      </c>
      <c r="CF65" s="42">
        <f t="shared" si="41"/>
        <v>5</v>
      </c>
      <c r="CG65" s="42">
        <f t="shared" si="41"/>
        <v>6</v>
      </c>
      <c r="CH65" s="42">
        <f t="shared" si="41"/>
        <v>7</v>
      </c>
      <c r="CI65" s="42">
        <f t="shared" si="41"/>
        <v>8</v>
      </c>
      <c r="CJ65" s="42">
        <f t="shared" si="41"/>
        <v>9</v>
      </c>
      <c r="CK65" s="42">
        <f t="shared" si="41"/>
        <v>10</v>
      </c>
      <c r="CL65" s="42">
        <f t="shared" si="41"/>
        <v>11</v>
      </c>
      <c r="CM65" s="42">
        <f t="shared" si="41"/>
        <v>12</v>
      </c>
      <c r="CN65" s="42">
        <f t="shared" si="41"/>
        <v>13</v>
      </c>
      <c r="CO65" s="42">
        <f t="shared" si="41"/>
        <v>14</v>
      </c>
      <c r="CP65" s="42">
        <f t="shared" si="41"/>
        <v>15</v>
      </c>
      <c r="CQ65" s="42">
        <f t="shared" si="41"/>
        <v>16</v>
      </c>
      <c r="CR65" s="42">
        <f t="shared" si="23"/>
        <v>17</v>
      </c>
      <c r="CS65" s="42">
        <f t="shared" si="23"/>
        <v>18</v>
      </c>
      <c r="CT65" s="42">
        <f t="shared" si="23"/>
        <v>19</v>
      </c>
      <c r="CU65" s="42">
        <f t="shared" si="23"/>
        <v>20</v>
      </c>
      <c r="CV65" s="42">
        <f t="shared" si="23"/>
        <v>21</v>
      </c>
      <c r="CW65" s="42">
        <f t="shared" si="23"/>
        <v>22</v>
      </c>
      <c r="CX65" s="42">
        <f t="shared" si="23"/>
        <v>23</v>
      </c>
      <c r="CY65" s="42">
        <f t="shared" si="23"/>
        <v>24</v>
      </c>
      <c r="CZ65" s="42">
        <f t="shared" si="40"/>
        <v>25</v>
      </c>
      <c r="DA65" s="102">
        <f t="shared" si="34"/>
        <v>6.597999999999999</v>
      </c>
      <c r="DB65" s="103">
        <f t="shared" si="35"/>
        <v>13.051430101112924</v>
      </c>
      <c r="DC65" s="103">
        <f t="shared" si="35"/>
        <v>30.231843198101902</v>
      </c>
      <c r="DD65" s="103">
        <f t="shared" si="35"/>
        <v>35.768727131783528</v>
      </c>
      <c r="DE65" s="103">
        <f t="shared" si="35"/>
        <v>46.370968547372549</v>
      </c>
      <c r="DF65" s="103">
        <f t="shared" si="35"/>
        <v>50.578599849942115</v>
      </c>
      <c r="DG65" s="103">
        <f t="shared" si="35"/>
        <v>148.48790828034436</v>
      </c>
      <c r="DH65" s="103">
        <f t="shared" si="35"/>
        <v>158.38196888501363</v>
      </c>
      <c r="DI65" s="103">
        <f t="shared" si="35"/>
        <v>169.54071162001992</v>
      </c>
      <c r="DJ65" s="103">
        <f t="shared" si="35"/>
        <v>179.9554746861059</v>
      </c>
      <c r="DK65" s="103">
        <f t="shared" si="35"/>
        <v>138.64218557417269</v>
      </c>
      <c r="DL65" s="103">
        <f t="shared" si="35"/>
        <v>143.44188246308298</v>
      </c>
      <c r="DM65" s="103">
        <f t="shared" si="35"/>
        <v>163.79297637758577</v>
      </c>
      <c r="DN65" s="103">
        <f t="shared" si="35"/>
        <v>153.87616056505897</v>
      </c>
      <c r="DO65" s="103">
        <f t="shared" si="35"/>
        <v>192.42200398769373</v>
      </c>
      <c r="DP65" s="103">
        <f t="shared" si="35"/>
        <v>203.24620774204675</v>
      </c>
      <c r="DQ65" s="103">
        <f t="shared" si="35"/>
        <v>215.24875437033876</v>
      </c>
      <c r="DR65" s="103">
        <f t="shared" si="36"/>
        <v>231.60523985850347</v>
      </c>
      <c r="DS65" s="103">
        <f t="shared" si="36"/>
        <v>236.62801171185976</v>
      </c>
      <c r="DT65" s="103">
        <f t="shared" si="36"/>
        <v>245.1791150793685</v>
      </c>
      <c r="DU65" s="103">
        <f t="shared" si="36"/>
        <v>258.74076824755269</v>
      </c>
      <c r="DV65" s="103">
        <f t="shared" si="36"/>
        <v>280.37381350803508</v>
      </c>
      <c r="DW65" s="25">
        <f t="shared" si="37"/>
        <v>0</v>
      </c>
      <c r="DX65" s="25">
        <f t="shared" si="38"/>
        <v>0.49679706618991304</v>
      </c>
      <c r="DY65" s="25">
        <f t="shared" si="38"/>
        <v>1.7811328949936693</v>
      </c>
      <c r="DZ65" s="25">
        <f t="shared" si="38"/>
        <v>2.0702576035789724</v>
      </c>
      <c r="EA65" s="25">
        <f t="shared" si="38"/>
        <v>2.7270656049324611</v>
      </c>
      <c r="EB65" s="25">
        <f t="shared" si="38"/>
        <v>2.8410423093149397</v>
      </c>
      <c r="EC65" s="25">
        <f t="shared" si="38"/>
        <v>10.159574463025429</v>
      </c>
      <c r="ED65" s="25">
        <f t="shared" si="38"/>
        <v>10.139134711792771</v>
      </c>
      <c r="EE65" s="25">
        <f t="shared" si="38"/>
        <v>10.217626036043546</v>
      </c>
      <c r="EF65" s="25">
        <f t="shared" si="38"/>
        <v>10.232802011707339</v>
      </c>
      <c r="EG65" s="25">
        <f t="shared" si="38"/>
        <v>6.2646879324417508</v>
      </c>
      <c r="EH65" s="25">
        <f t="shared" si="38"/>
        <v>6.151910193934067</v>
      </c>
      <c r="EI65" s="25">
        <f t="shared" si="38"/>
        <v>7.2449897972063804</v>
      </c>
      <c r="EJ65" s="25">
        <f t="shared" si="38"/>
        <v>5.9238420441739743</v>
      </c>
      <c r="EK65" s="25">
        <f t="shared" si="38"/>
        <v>8.4351444560909687</v>
      </c>
      <c r="EL65" s="25">
        <f t="shared" si="38"/>
        <v>8.6190586895659145</v>
      </c>
      <c r="EM65" s="25">
        <f t="shared" si="38"/>
        <v>8.879525891520764</v>
      </c>
      <c r="EN65" s="25">
        <f t="shared" si="39"/>
        <v>9.4551161642026731</v>
      </c>
      <c r="EO65" s="25">
        <f t="shared" si="39"/>
        <v>9.1139060456345202</v>
      </c>
      <c r="EP65" s="25">
        <f t="shared" si="39"/>
        <v>9.0705804474710749</v>
      </c>
      <c r="EQ65" s="25">
        <f t="shared" si="39"/>
        <v>9.4163115883896165</v>
      </c>
      <c r="ER65" s="25">
        <f t="shared" si="39"/>
        <v>10.356778495387267</v>
      </c>
      <c r="FO65" s="25" t="str">
        <f t="shared" si="6"/>
        <v>Holt's model8</v>
      </c>
    </row>
    <row r="66" spans="1:171" ht="13.5" thickBot="1">
      <c r="A66" s="132">
        <v>0.42039045088683547</v>
      </c>
      <c r="B66" s="133">
        <v>0.97576610095661065</v>
      </c>
      <c r="C66" s="133">
        <v>0</v>
      </c>
      <c r="D66" s="133"/>
      <c r="E66" s="133"/>
      <c r="F66" s="135"/>
      <c r="G66" s="112" t="s">
        <v>38</v>
      </c>
      <c r="H66" s="96">
        <v>9</v>
      </c>
      <c r="I66" s="95">
        <v>798</v>
      </c>
      <c r="J66" s="95">
        <v>823</v>
      </c>
      <c r="K66" s="95">
        <v>839</v>
      </c>
      <c r="L66" s="41">
        <v>889.34</v>
      </c>
      <c r="M66" s="41">
        <v>969.38060000000007</v>
      </c>
      <c r="N66" s="41">
        <v>1017.8496300000002</v>
      </c>
      <c r="O66" s="41">
        <v>1109.4560967000002</v>
      </c>
      <c r="P66" s="41">
        <v>1176.0234625020003</v>
      </c>
      <c r="Q66" s="41">
        <v>1223.0644010020803</v>
      </c>
      <c r="R66" s="41">
        <v>1345.3708411022885</v>
      </c>
      <c r="S66" s="41">
        <v>1426.093091568426</v>
      </c>
      <c r="T66" s="41">
        <v>1483.1368152311632</v>
      </c>
      <c r="U66" s="41">
        <v>1631.4504967542796</v>
      </c>
      <c r="V66" s="41">
        <v>1761.966536494622</v>
      </c>
      <c r="W66" s="41">
        <v>1902.9238594141918</v>
      </c>
      <c r="X66" s="41">
        <v>1940.9823366024757</v>
      </c>
      <c r="Y66" s="41">
        <v>2115.6707468966988</v>
      </c>
      <c r="Z66" s="41">
        <v>2200.297576772567</v>
      </c>
      <c r="AA66" s="41">
        <v>2420.3273344498239</v>
      </c>
      <c r="AB66" s="41">
        <v>2468.7338811388204</v>
      </c>
      <c r="AC66" s="41">
        <v>2641.5452528185378</v>
      </c>
      <c r="AD66" s="41">
        <v>2773.6225154594649</v>
      </c>
      <c r="AE66" s="151"/>
      <c r="AF66" s="151">
        <f t="shared" si="31"/>
        <v>798</v>
      </c>
      <c r="AG66" s="151">
        <f t="shared" si="31"/>
        <v>818.76483005070179</v>
      </c>
      <c r="AH66" s="151">
        <f t="shared" si="31"/>
        <v>845.8270934310026</v>
      </c>
      <c r="AI66" s="151">
        <f t="shared" si="31"/>
        <v>900.52420898923822</v>
      </c>
      <c r="AJ66" s="151">
        <f t="shared" si="31"/>
        <v>994.12056442526227</v>
      </c>
      <c r="AK66" s="151">
        <f t="shared" si="31"/>
        <v>1078.4795511546877</v>
      </c>
      <c r="AL66" s="151">
        <f t="shared" si="31"/>
        <v>1178.5919734602755</v>
      </c>
      <c r="AM66" s="151">
        <f t="shared" si="31"/>
        <v>1263.5487640758745</v>
      </c>
      <c r="AN66" s="151">
        <f t="shared" si="31"/>
        <v>1315.9592954138006</v>
      </c>
      <c r="AO66" s="151">
        <f t="shared" si="31"/>
        <v>1409.8180963081818</v>
      </c>
      <c r="AP66" s="151">
        <f t="shared" si="31"/>
        <v>1504.8304646754987</v>
      </c>
      <c r="AQ66" s="151">
        <f t="shared" si="31"/>
        <v>1574.9823826915353</v>
      </c>
      <c r="AR66" s="151">
        <f t="shared" si="31"/>
        <v>1701.1561354507187</v>
      </c>
      <c r="AS66" s="151">
        <f t="shared" si="31"/>
        <v>1854.0999379980028</v>
      </c>
      <c r="AT66" s="151">
        <f t="shared" si="31"/>
        <v>2022.0324458564703</v>
      </c>
      <c r="AU66" s="151">
        <f t="shared" si="31"/>
        <v>2102.1201736067223</v>
      </c>
      <c r="AV66" s="151">
        <f t="shared" si="32"/>
        <v>2227.5356073889257</v>
      </c>
      <c r="AW66" s="151">
        <f t="shared" si="32"/>
        <v>2324.6307864894006</v>
      </c>
      <c r="AX66" s="151">
        <f t="shared" si="32"/>
        <v>2512.6614757554376</v>
      </c>
      <c r="AY66" s="151">
        <f t="shared" si="32"/>
        <v>2623.9762886060712</v>
      </c>
      <c r="AZ66" s="151">
        <f t="shared" si="32"/>
        <v>2768.3505050055078</v>
      </c>
      <c r="BA66" s="154">
        <f t="shared" si="33"/>
        <v>2905.338896618051</v>
      </c>
      <c r="BB66" s="158">
        <f t="shared" si="33"/>
        <v>3042.3272882305941</v>
      </c>
      <c r="BC66" s="158">
        <f t="shared" si="33"/>
        <v>3179.3156798431373</v>
      </c>
      <c r="BD66" s="45" t="str">
        <f t="shared" si="30"/>
        <v/>
      </c>
      <c r="BE66" s="45">
        <f t="shared" si="30"/>
        <v>625</v>
      </c>
      <c r="BF66" s="45">
        <f t="shared" si="30"/>
        <v>409.46210287698136</v>
      </c>
      <c r="BG66" s="45">
        <f t="shared" si="30"/>
        <v>1893.3730380823004</v>
      </c>
      <c r="BH66" s="45">
        <f t="shared" si="30"/>
        <v>4741.2025830269258</v>
      </c>
      <c r="BI66" s="45">
        <f t="shared" si="30"/>
        <v>563.06855305021077</v>
      </c>
      <c r="BJ66" s="45">
        <f t="shared" si="30"/>
        <v>959.54637392082259</v>
      </c>
      <c r="BK66" s="45">
        <f t="shared" si="30"/>
        <v>6.5972485427802123</v>
      </c>
      <c r="BL66" s="45">
        <f t="shared" si="30"/>
        <v>1638.9836534907879</v>
      </c>
      <c r="BM66" s="45">
        <f t="shared" si="30"/>
        <v>865.03901978600982</v>
      </c>
      <c r="BN66" s="45">
        <f t="shared" si="30"/>
        <v>264.87547072097016</v>
      </c>
      <c r="BO66" s="45">
        <f t="shared" si="30"/>
        <v>470.61442621371822</v>
      </c>
      <c r="BP66" s="45">
        <f t="shared" si="30"/>
        <v>3188.6479058030932</v>
      </c>
      <c r="BQ66" s="45">
        <f t="shared" si="29"/>
        <v>3697.9048751203568</v>
      </c>
      <c r="BR66" s="45">
        <f t="shared" si="29"/>
        <v>2383.7753024542012</v>
      </c>
      <c r="BS66" s="45">
        <f t="shared" si="29"/>
        <v>6569.1202100844621</v>
      </c>
      <c r="BT66" s="45">
        <f t="shared" si="28"/>
        <v>183.61803648702335</v>
      </c>
      <c r="BU66" s="45">
        <f t="shared" si="28"/>
        <v>741.91031185768998</v>
      </c>
      <c r="BV66" s="45">
        <f t="shared" si="28"/>
        <v>9157.8292915415841</v>
      </c>
      <c r="BW66" s="45">
        <f t="shared" si="28"/>
        <v>1929.6335688018539</v>
      </c>
      <c r="BX66" s="45">
        <f t="shared" si="28"/>
        <v>308.668503498934</v>
      </c>
      <c r="BY66" s="45">
        <f t="shared" si="28"/>
        <v>27.794094226633334</v>
      </c>
      <c r="BZ66" s="92">
        <f t="shared" si="4"/>
        <v>43.98412298480276</v>
      </c>
      <c r="CA66" s="47">
        <f t="shared" si="5"/>
        <v>1.5858006177713973E-2</v>
      </c>
      <c r="CB66" s="42">
        <f t="shared" si="17"/>
        <v>1</v>
      </c>
      <c r="CC66" s="42">
        <f t="shared" si="41"/>
        <v>2</v>
      </c>
      <c r="CD66" s="42">
        <f t="shared" si="41"/>
        <v>3</v>
      </c>
      <c r="CE66" s="42">
        <f t="shared" si="41"/>
        <v>4</v>
      </c>
      <c r="CF66" s="42">
        <f t="shared" si="41"/>
        <v>5</v>
      </c>
      <c r="CG66" s="42">
        <f t="shared" si="41"/>
        <v>6</v>
      </c>
      <c r="CH66" s="42">
        <f t="shared" si="41"/>
        <v>7</v>
      </c>
      <c r="CI66" s="42">
        <f t="shared" si="41"/>
        <v>8</v>
      </c>
      <c r="CJ66" s="42">
        <f t="shared" si="41"/>
        <v>9</v>
      </c>
      <c r="CK66" s="42">
        <f t="shared" si="41"/>
        <v>10</v>
      </c>
      <c r="CL66" s="42">
        <f t="shared" si="41"/>
        <v>11</v>
      </c>
      <c r="CM66" s="42">
        <f t="shared" si="41"/>
        <v>12</v>
      </c>
      <c r="CN66" s="42">
        <f t="shared" si="41"/>
        <v>13</v>
      </c>
      <c r="CO66" s="42">
        <f t="shared" si="41"/>
        <v>14</v>
      </c>
      <c r="CP66" s="42">
        <f t="shared" si="41"/>
        <v>15</v>
      </c>
      <c r="CQ66" s="42">
        <f t="shared" si="41"/>
        <v>16</v>
      </c>
      <c r="CR66" s="42">
        <f t="shared" si="23"/>
        <v>17</v>
      </c>
      <c r="CS66" s="42">
        <f t="shared" si="23"/>
        <v>18</v>
      </c>
      <c r="CT66" s="42">
        <f t="shared" si="23"/>
        <v>19</v>
      </c>
      <c r="CU66" s="42">
        <f t="shared" si="23"/>
        <v>20</v>
      </c>
      <c r="CV66" s="42">
        <f t="shared" si="23"/>
        <v>21</v>
      </c>
      <c r="CW66" s="42">
        <f t="shared" si="23"/>
        <v>22</v>
      </c>
      <c r="CX66" s="42">
        <f t="shared" si="23"/>
        <v>23</v>
      </c>
      <c r="CY66" s="42">
        <f t="shared" si="23"/>
        <v>24</v>
      </c>
      <c r="CZ66" s="42">
        <f t="shared" si="40"/>
        <v>25</v>
      </c>
      <c r="DA66" s="102">
        <f t="shared" si="34"/>
        <v>798</v>
      </c>
      <c r="DB66" s="103">
        <f t="shared" si="35"/>
        <v>808.50976127217086</v>
      </c>
      <c r="DC66" s="103">
        <f t="shared" si="35"/>
        <v>827.27150226945901</v>
      </c>
      <c r="DD66" s="103">
        <f t="shared" si="35"/>
        <v>864.11950384294016</v>
      </c>
      <c r="DE66" s="103">
        <f t="shared" si="35"/>
        <v>929.47077825269275</v>
      </c>
      <c r="DF66" s="103">
        <f t="shared" si="35"/>
        <v>1004.0960370013497</v>
      </c>
      <c r="DG66" s="103">
        <f t="shared" si="35"/>
        <v>1091.5017951033983</v>
      </c>
      <c r="DH66" s="103">
        <f t="shared" si="35"/>
        <v>1177.5121959804183</v>
      </c>
      <c r="DI66" s="103">
        <f t="shared" si="35"/>
        <v>1246.5295244294157</v>
      </c>
      <c r="DJ66" s="103">
        <f t="shared" si="35"/>
        <v>1328.3236283670628</v>
      </c>
      <c r="DK66" s="103">
        <f t="shared" si="35"/>
        <v>1416.6599489038169</v>
      </c>
      <c r="DL66" s="103">
        <f t="shared" si="35"/>
        <v>1495.7106616042136</v>
      </c>
      <c r="DM66" s="103">
        <f t="shared" si="35"/>
        <v>1598.7210386231018</v>
      </c>
      <c r="DN66" s="103">
        <f t="shared" si="35"/>
        <v>1726.7202473641746</v>
      </c>
      <c r="DO66" s="103">
        <f t="shared" si="35"/>
        <v>1874.6250483362178</v>
      </c>
      <c r="DP66" s="103">
        <f t="shared" si="35"/>
        <v>1987.9597538827563</v>
      </c>
      <c r="DQ66" s="103">
        <f t="shared" si="35"/>
        <v>2107.8167052218705</v>
      </c>
      <c r="DR66" s="103">
        <f t="shared" si="36"/>
        <v>2216.0849994168452</v>
      </c>
      <c r="DS66" s="103">
        <f t="shared" si="36"/>
        <v>2364.8607014347967</v>
      </c>
      <c r="DT66" s="103">
        <f t="shared" si="36"/>
        <v>2494.1947344481837</v>
      </c>
      <c r="DU66" s="103">
        <f t="shared" si="36"/>
        <v>2631.3621133929646</v>
      </c>
      <c r="DV66" s="103">
        <f t="shared" si="36"/>
        <v>2770.5668078573271</v>
      </c>
      <c r="DW66" s="25">
        <f t="shared" si="37"/>
        <v>0</v>
      </c>
      <c r="DX66" s="25">
        <f t="shared" si="38"/>
        <v>10.255068778530951</v>
      </c>
      <c r="DY66" s="25">
        <f t="shared" si="38"/>
        <v>18.555591161543578</v>
      </c>
      <c r="DZ66" s="25">
        <f t="shared" si="38"/>
        <v>36.404705146298021</v>
      </c>
      <c r="EA66" s="25">
        <f t="shared" si="38"/>
        <v>64.649786172569563</v>
      </c>
      <c r="EB66" s="25">
        <f t="shared" si="38"/>
        <v>74.383514153337956</v>
      </c>
      <c r="EC66" s="25">
        <f t="shared" si="38"/>
        <v>87.090178356877161</v>
      </c>
      <c r="ED66" s="25">
        <f t="shared" si="38"/>
        <v>86.036568095456133</v>
      </c>
      <c r="EE66" s="25">
        <f t="shared" si="38"/>
        <v>69.429770984384973</v>
      </c>
      <c r="EF66" s="25">
        <f t="shared" si="38"/>
        <v>81.494467941118941</v>
      </c>
      <c r="EG66" s="25">
        <f t="shared" si="38"/>
        <v>88.170515771681735</v>
      </c>
      <c r="EH66" s="25">
        <f t="shared" si="38"/>
        <v>79.271721087321737</v>
      </c>
      <c r="EI66" s="25">
        <f t="shared" si="38"/>
        <v>102.43509682761689</v>
      </c>
      <c r="EJ66" s="25">
        <f t="shared" si="38"/>
        <v>127.37969063382823</v>
      </c>
      <c r="EK66" s="25">
        <f t="shared" si="38"/>
        <v>147.40739752025246</v>
      </c>
      <c r="EL66" s="25">
        <f t="shared" si="38"/>
        <v>114.16041972396603</v>
      </c>
      <c r="EM66" s="25">
        <f t="shared" si="38"/>
        <v>119.71890216705521</v>
      </c>
      <c r="EN66" s="25">
        <f t="shared" si="39"/>
        <v>108.54578707255554</v>
      </c>
      <c r="EO66" s="25">
        <f t="shared" si="39"/>
        <v>147.80077432064064</v>
      </c>
      <c r="EP66" s="25">
        <f t="shared" si="39"/>
        <v>129.78155415788731</v>
      </c>
      <c r="EQ66" s="25">
        <f t="shared" si="39"/>
        <v>136.98839161254318</v>
      </c>
      <c r="ER66" s="25">
        <f t="shared" si="39"/>
        <v>139.15098480480199</v>
      </c>
      <c r="FO66" s="25" t="str">
        <f t="shared" si="6"/>
        <v>Holt's model9</v>
      </c>
    </row>
    <row r="67" spans="1:171">
      <c r="A67" s="144">
        <v>0.14028483170097919</v>
      </c>
      <c r="B67" s="138">
        <v>0.8564837113285827</v>
      </c>
      <c r="C67" s="138">
        <v>0.48151562152500993</v>
      </c>
      <c r="D67" s="138">
        <v>0.32738699965522949</v>
      </c>
      <c r="E67" s="138">
        <f ca="1">AVERAGE(INDIRECT(ADDRESS(ROW(H67),COLUMN(AD67)-CW67+1,1,1)):INDIRECT(ADDRESS(ROW(H67),COLUMN(AD67)-CW67+1+11,1,1)))</f>
        <v>34227.770083333329</v>
      </c>
      <c r="F67" s="121"/>
      <c r="G67" s="39" t="s">
        <v>45</v>
      </c>
      <c r="H67" s="40">
        <v>1</v>
      </c>
      <c r="I67" s="41">
        <v>32802.146000000001</v>
      </c>
      <c r="J67" s="41">
        <v>33904.127</v>
      </c>
      <c r="K67" s="41">
        <v>32833.296999999999</v>
      </c>
      <c r="L67" s="41">
        <v>29818.438999999988</v>
      </c>
      <c r="M67" s="41">
        <v>33431.994999999974</v>
      </c>
      <c r="N67" s="41">
        <v>28803.478000000006</v>
      </c>
      <c r="O67" s="41">
        <v>40291.759000000013</v>
      </c>
      <c r="P67" s="41">
        <v>26278.331999999999</v>
      </c>
      <c r="Q67" s="41">
        <v>42540.371000000014</v>
      </c>
      <c r="R67" s="41">
        <v>37172.433999999972</v>
      </c>
      <c r="S67" s="41">
        <v>41637.430999999997</v>
      </c>
      <c r="T67" s="41">
        <v>31219.431999999964</v>
      </c>
      <c r="U67" s="41">
        <v>28675.796000000013</v>
      </c>
      <c r="V67" s="41">
        <v>49731.127000000008</v>
      </c>
      <c r="W67" s="41">
        <v>41223.800000000025</v>
      </c>
      <c r="X67" s="41">
        <v>32654.809000000019</v>
      </c>
      <c r="Y67" s="41">
        <v>28539.58400000001</v>
      </c>
      <c r="Z67" s="41">
        <v>21790.126999999993</v>
      </c>
      <c r="AA67" s="41">
        <v>37336.114000000016</v>
      </c>
      <c r="AB67" s="41">
        <v>42632.649000000019</v>
      </c>
      <c r="AC67" s="41">
        <v>31690.889000000021</v>
      </c>
      <c r="AD67" s="41">
        <v>43097.821000000011</v>
      </c>
      <c r="AE67" s="150"/>
      <c r="AF67" s="150" t="str">
        <f t="shared" si="31"/>
        <v/>
      </c>
      <c r="AG67" s="150" t="str">
        <f t="shared" si="31"/>
        <v/>
      </c>
      <c r="AH67" s="150" t="str">
        <f t="shared" si="31"/>
        <v/>
      </c>
      <c r="AI67" s="150" t="str">
        <f t="shared" si="31"/>
        <v/>
      </c>
      <c r="AJ67" s="150" t="str">
        <f t="shared" si="31"/>
        <v/>
      </c>
      <c r="AK67" s="150" t="str">
        <f t="shared" si="31"/>
        <v/>
      </c>
      <c r="AL67" s="150" t="str">
        <f t="shared" si="31"/>
        <v/>
      </c>
      <c r="AM67" s="150" t="str">
        <f t="shared" si="31"/>
        <v/>
      </c>
      <c r="AN67" s="150" t="str">
        <f t="shared" si="31"/>
        <v/>
      </c>
      <c r="AO67" s="150" t="str">
        <f t="shared" si="31"/>
        <v/>
      </c>
      <c r="AP67" s="150" t="str">
        <f t="shared" si="31"/>
        <v/>
      </c>
      <c r="AQ67" s="150" t="str">
        <f t="shared" si="31"/>
        <v/>
      </c>
      <c r="AR67" s="150">
        <f t="shared" si="31"/>
        <v>30101.420083333342</v>
      </c>
      <c r="AS67" s="150">
        <f t="shared" ca="1" si="31"/>
        <v>31210.99805587501</v>
      </c>
      <c r="AT67" s="150">
        <f t="shared" ca="1" si="31"/>
        <v>32563.908043699463</v>
      </c>
      <c r="AU67" s="150">
        <f t="shared" ca="1" si="31"/>
        <v>33547.816456645356</v>
      </c>
      <c r="AV67" s="150">
        <f t="shared" ca="1" si="32"/>
        <v>32714.165792012467</v>
      </c>
      <c r="AW67" s="150">
        <f t="shared" ca="1" si="32"/>
        <v>30711.486828557292</v>
      </c>
      <c r="AX67" s="150">
        <f t="shared" ca="1" si="32"/>
        <v>29927.482154085745</v>
      </c>
      <c r="AY67" s="150">
        <f t="shared" ca="1" si="32"/>
        <v>35670.104432261389</v>
      </c>
      <c r="AZ67" s="150">
        <f t="shared" ca="1" si="32"/>
        <v>35172.06219875945</v>
      </c>
      <c r="BA67" s="148">
        <f t="shared" ref="BA67:BC75" ca="1" si="42">($DU67+(CX67-$CV67)*$EQ67)*FC67</f>
        <v>43916.137559833631</v>
      </c>
      <c r="BB67" s="156">
        <f t="shared" ca="1" si="42"/>
        <v>33775.249370745587</v>
      </c>
      <c r="BC67" s="156">
        <f t="shared" ca="1" si="42"/>
        <v>34192.175074185114</v>
      </c>
      <c r="BD67" s="45" t="str">
        <f t="shared" si="30"/>
        <v/>
      </c>
      <c r="BE67" s="45" t="str">
        <f t="shared" si="30"/>
        <v/>
      </c>
      <c r="BF67" s="45" t="str">
        <f t="shared" si="30"/>
        <v/>
      </c>
      <c r="BG67" s="45" t="str">
        <f t="shared" si="30"/>
        <v/>
      </c>
      <c r="BH67" s="45" t="str">
        <f t="shared" si="30"/>
        <v/>
      </c>
      <c r="BI67" s="45" t="str">
        <f t="shared" si="30"/>
        <v/>
      </c>
      <c r="BJ67" s="45" t="str">
        <f t="shared" si="30"/>
        <v/>
      </c>
      <c r="BK67" s="45" t="str">
        <f t="shared" si="30"/>
        <v/>
      </c>
      <c r="BL67" s="45" t="str">
        <f t="shared" si="30"/>
        <v/>
      </c>
      <c r="BM67" s="45" t="str">
        <f t="shared" si="30"/>
        <v/>
      </c>
      <c r="BN67" s="45" t="str">
        <f t="shared" si="30"/>
        <v/>
      </c>
      <c r="BO67" s="45" t="str">
        <f t="shared" si="30"/>
        <v/>
      </c>
      <c r="BP67" s="45" t="str">
        <f t="shared" si="30"/>
        <v/>
      </c>
      <c r="BQ67" s="45">
        <f t="shared" si="29"/>
        <v>385325393.63423115</v>
      </c>
      <c r="BR67" s="45">
        <f t="shared" ca="1" si="29"/>
        <v>100256202.77227367</v>
      </c>
      <c r="BS67" s="45">
        <f t="shared" ca="1" si="29"/>
        <v>8262.983856355695</v>
      </c>
      <c r="BT67" s="45">
        <f t="shared" ca="1" si="28"/>
        <v>25082392.33979588</v>
      </c>
      <c r="BU67" s="45">
        <f t="shared" ca="1" si="28"/>
        <v>119334623.52939335</v>
      </c>
      <c r="BV67" s="45">
        <f t="shared" ca="1" si="28"/>
        <v>43885685.160617225</v>
      </c>
      <c r="BW67" s="45">
        <f t="shared" ca="1" si="28"/>
        <v>161421264.58251929</v>
      </c>
      <c r="BX67" s="45">
        <f t="shared" ca="1" si="28"/>
        <v>15834155.456347024</v>
      </c>
      <c r="BY67" s="45">
        <f t="shared" ca="1" si="28"/>
        <v>62817652.575442217</v>
      </c>
      <c r="BZ67" s="92">
        <f t="shared" ca="1" si="4"/>
        <v>10077.28817707575</v>
      </c>
      <c r="CA67" s="47">
        <f t="shared" ca="1" si="5"/>
        <v>0.23382361203541469</v>
      </c>
      <c r="CB67" s="42">
        <f t="shared" si="17"/>
        <v>1</v>
      </c>
      <c r="CC67" s="42">
        <f t="shared" si="41"/>
        <v>2</v>
      </c>
      <c r="CD67" s="42">
        <f t="shared" si="41"/>
        <v>3</v>
      </c>
      <c r="CE67" s="42">
        <f t="shared" si="41"/>
        <v>4</v>
      </c>
      <c r="CF67" s="42">
        <f t="shared" si="41"/>
        <v>5</v>
      </c>
      <c r="CG67" s="42">
        <f t="shared" si="41"/>
        <v>6</v>
      </c>
      <c r="CH67" s="42">
        <f t="shared" si="41"/>
        <v>7</v>
      </c>
      <c r="CI67" s="42">
        <f t="shared" si="41"/>
        <v>8</v>
      </c>
      <c r="CJ67" s="42">
        <f t="shared" si="41"/>
        <v>9</v>
      </c>
      <c r="CK67" s="42">
        <f t="shared" si="41"/>
        <v>10</v>
      </c>
      <c r="CL67" s="42">
        <f t="shared" si="41"/>
        <v>11</v>
      </c>
      <c r="CM67" s="42">
        <f t="shared" si="41"/>
        <v>12</v>
      </c>
      <c r="CN67" s="42">
        <f t="shared" si="41"/>
        <v>13</v>
      </c>
      <c r="CO67" s="42">
        <f t="shared" si="41"/>
        <v>14</v>
      </c>
      <c r="CP67" s="42">
        <f t="shared" si="41"/>
        <v>15</v>
      </c>
      <c r="CQ67" s="42">
        <f t="shared" si="41"/>
        <v>16</v>
      </c>
      <c r="CR67" s="42">
        <f t="shared" si="23"/>
        <v>17</v>
      </c>
      <c r="CS67" s="42">
        <f t="shared" si="23"/>
        <v>18</v>
      </c>
      <c r="CT67" s="42">
        <f t="shared" si="23"/>
        <v>19</v>
      </c>
      <c r="CU67" s="42">
        <f t="shared" si="23"/>
        <v>20</v>
      </c>
      <c r="CV67" s="42">
        <f t="shared" si="23"/>
        <v>21</v>
      </c>
      <c r="CW67" s="42">
        <f t="shared" si="23"/>
        <v>22</v>
      </c>
      <c r="CX67" s="42">
        <f t="shared" si="23"/>
        <v>23</v>
      </c>
      <c r="CY67" s="42">
        <f t="shared" si="23"/>
        <v>24</v>
      </c>
      <c r="CZ67" s="42">
        <f t="shared" si="40"/>
        <v>25</v>
      </c>
      <c r="DA67" s="104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3">
        <f t="shared" ref="DM67:DV75" si="43">IF(CN67&lt;13,"",IF(CN67=13,AVERAGE(I67:T67),IFERROR($A67*U67/ES67,0)+(1-$A67)*AQ67))</f>
        <v>34227.770083333329</v>
      </c>
      <c r="DN67" s="103">
        <f t="shared" ca="1" si="43"/>
        <v>32921.766925371936</v>
      </c>
      <c r="DO67" s="103">
        <f t="shared" ca="1" si="43"/>
        <v>32861.257004351792</v>
      </c>
      <c r="DP67" s="103">
        <f t="shared" ca="1" si="43"/>
        <v>33254.060812495532</v>
      </c>
      <c r="DQ67" s="103">
        <f t="shared" ca="1" si="43"/>
        <v>32940.535982325498</v>
      </c>
      <c r="DR67" s="103">
        <f t="shared" ca="1" si="43"/>
        <v>31757.352240510343</v>
      </c>
      <c r="DS67" s="103">
        <f t="shared" ca="1" si="43"/>
        <v>30852.538826958131</v>
      </c>
      <c r="DT67" s="103">
        <f t="shared" ca="1" si="43"/>
        <v>33519.045554486569</v>
      </c>
      <c r="DU67" s="103">
        <f t="shared" ca="1" si="43"/>
        <v>34243.158914177126</v>
      </c>
      <c r="DV67" s="103">
        <f t="shared" ca="1" si="43"/>
        <v>35804.986319598655</v>
      </c>
      <c r="EI67" s="25">
        <f t="shared" ref="EI67:ER75" si="44">IF(CN67&lt;13,"",IF(CN67=13,U67-I67,$B67*(DM67-DL67)+(1-$B67)*EH67))</f>
        <v>-4126.3499999999876</v>
      </c>
      <c r="EJ67" s="25">
        <f t="shared" ca="1" si="44"/>
        <v>-1710.7688694969243</v>
      </c>
      <c r="EK67" s="25">
        <f t="shared" ca="1" si="44"/>
        <v>-297.34896065232738</v>
      </c>
      <c r="EL67" s="25">
        <f t="shared" ca="1" si="44"/>
        <v>293.75564414982637</v>
      </c>
      <c r="EM67" s="25">
        <f t="shared" ca="1" si="44"/>
        <v>-226.3701903130297</v>
      </c>
      <c r="EN67" s="25">
        <f t="shared" ca="1" si="44"/>
        <v>-1045.8654119530524</v>
      </c>
      <c r="EO67" s="25">
        <f t="shared" ca="1" si="44"/>
        <v>-925.05667287238748</v>
      </c>
      <c r="EP67" s="25">
        <f t="shared" ca="1" si="44"/>
        <v>2151.0588777748162</v>
      </c>
      <c r="EQ67" s="25">
        <f t="shared" ca="1" si="44"/>
        <v>928.90328458232239</v>
      </c>
      <c r="ER67" s="25">
        <f t="shared" ca="1" si="44"/>
        <v>1470.9924845880664</v>
      </c>
      <c r="ES67" s="25">
        <f t="shared" ref="ES67:FH75" ca="1" si="45">IF(CB67="","",IF(CB67&lt;13,I67/$E67,$C67*I67/DA67+(1-$C67)*EI67))</f>
        <v>0.95834890558565733</v>
      </c>
      <c r="ET67" s="25">
        <f t="shared" ca="1" si="45"/>
        <v>0.99054442978478108</v>
      </c>
      <c r="EU67" s="25">
        <f t="shared" ca="1" si="45"/>
        <v>0.95925901453883067</v>
      </c>
      <c r="EV67" s="25">
        <f t="shared" ca="1" si="45"/>
        <v>0.87117679379643853</v>
      </c>
      <c r="EW67" s="25">
        <f t="shared" ca="1" si="45"/>
        <v>0.97675060100626165</v>
      </c>
      <c r="EX67" s="25">
        <f t="shared" ca="1" si="45"/>
        <v>0.84152364965269544</v>
      </c>
      <c r="EY67" s="25">
        <f t="shared" ca="1" si="45"/>
        <v>1.1771657604893007</v>
      </c>
      <c r="EZ67" s="25">
        <f t="shared" ca="1" si="45"/>
        <v>0.76774887572345285</v>
      </c>
      <c r="FA67" s="25">
        <f t="shared" ca="1" si="45"/>
        <v>1.2428613052041733</v>
      </c>
      <c r="FB67" s="25">
        <f t="shared" ca="1" si="45"/>
        <v>1.0860314273906058</v>
      </c>
      <c r="FC67" s="25">
        <f t="shared" ca="1" si="45"/>
        <v>1.2164809714049905</v>
      </c>
      <c r="FD67" s="25">
        <f t="shared" ca="1" si="45"/>
        <v>0.91210826542281154</v>
      </c>
      <c r="FE67" s="25">
        <f t="shared" ca="1" si="45"/>
        <v>0.90077136918151191</v>
      </c>
      <c r="FF67" s="25">
        <f t="shared" ca="1" si="45"/>
        <v>1.1790618293590975</v>
      </c>
      <c r="FG67" s="25">
        <f t="shared" ca="1" si="45"/>
        <v>1.1104817962974187</v>
      </c>
      <c r="FH67" s="25">
        <f t="shared" ca="1" si="45"/>
        <v>0.9091553790298611</v>
      </c>
      <c r="FI67" s="25">
        <f t="shared" ref="FI67:FN75" ca="1" si="46">IF(CR67="","",IF(CR67&lt;13,Y67/$E67,$C67*Y67/DQ67+(1-$C67)*EY67))</f>
        <v>1.0275257833943057</v>
      </c>
      <c r="FJ67" s="25">
        <f t="shared" ca="1" si="46"/>
        <v>0.72845500950706132</v>
      </c>
      <c r="FK67" s="25">
        <f t="shared" ca="1" si="46"/>
        <v>1.2271089607082111</v>
      </c>
      <c r="FL67" s="25">
        <f t="shared" ca="1" si="46"/>
        <v>1.1755268158446239</v>
      </c>
      <c r="FM67" s="25">
        <f t="shared" ca="1" si="46"/>
        <v>1.0763528528661026</v>
      </c>
      <c r="FN67" s="25">
        <f t="shared" ca="1" si="46"/>
        <v>1.0525056199368534</v>
      </c>
      <c r="FO67" s="25" t="str">
        <f t="shared" si="6"/>
        <v>Winters' model1</v>
      </c>
    </row>
    <row r="68" spans="1:171">
      <c r="A68" s="145">
        <v>0.63893663720588123</v>
      </c>
      <c r="B68" s="141">
        <v>1</v>
      </c>
      <c r="C68" s="141">
        <v>0.57660481878040692</v>
      </c>
      <c r="D68" s="141"/>
      <c r="E68" s="141">
        <f ca="1">AVERAGE(INDIRECT(ADDRESS(ROW(H68),COLUMN(AD68)-CW68+1,1,1)):INDIRECT(ADDRESS(ROW(H68),COLUMN(AD68)-CW68+1+11,1,1)))</f>
        <v>4243.745750000001</v>
      </c>
      <c r="F68" s="131"/>
      <c r="G68" s="39" t="s">
        <v>45</v>
      </c>
      <c r="H68" s="40">
        <v>2</v>
      </c>
      <c r="I68" s="41">
        <v>2034.829</v>
      </c>
      <c r="J68" s="41">
        <v>3926.1889999999994</v>
      </c>
      <c r="K68" s="41">
        <v>3165.9719999999993</v>
      </c>
      <c r="L68" s="41">
        <v>2405.7349999999997</v>
      </c>
      <c r="M68" s="41">
        <v>4985.2890000000025</v>
      </c>
      <c r="N68" s="41">
        <v>3527.0360000000028</v>
      </c>
      <c r="O68" s="41">
        <v>5465.6859999999933</v>
      </c>
      <c r="P68" s="41">
        <v>3315.097000000002</v>
      </c>
      <c r="Q68" s="41">
        <v>5477.0960000000023</v>
      </c>
      <c r="R68" s="41">
        <v>4799.9790000000003</v>
      </c>
      <c r="S68" s="41">
        <v>6470.7690000000048</v>
      </c>
      <c r="T68" s="41">
        <v>5351.2719999999999</v>
      </c>
      <c r="U68" s="41">
        <v>5938.1189999999997</v>
      </c>
      <c r="V68" s="41">
        <v>4660.0050000000001</v>
      </c>
      <c r="W68" s="41">
        <v>5788.3040000000074</v>
      </c>
      <c r="X68" s="41">
        <v>5788.3040000000074</v>
      </c>
      <c r="Y68" s="41">
        <v>5652.8189999999959</v>
      </c>
      <c r="Z68" s="41">
        <v>4704.0000000000045</v>
      </c>
      <c r="AA68" s="41">
        <v>4291.5800000000008</v>
      </c>
      <c r="AB68" s="41">
        <v>5788.3040000000074</v>
      </c>
      <c r="AC68" s="41">
        <v>5711.5479999999989</v>
      </c>
      <c r="AD68" s="41">
        <v>6232.6779999999999</v>
      </c>
      <c r="AE68" s="150"/>
      <c r="AF68" s="150" t="str">
        <f t="shared" si="31"/>
        <v/>
      </c>
      <c r="AG68" s="150" t="str">
        <f t="shared" si="31"/>
        <v/>
      </c>
      <c r="AH68" s="150" t="str">
        <f t="shared" si="31"/>
        <v/>
      </c>
      <c r="AI68" s="150" t="str">
        <f t="shared" si="31"/>
        <v/>
      </c>
      <c r="AJ68" s="150" t="str">
        <f t="shared" si="31"/>
        <v/>
      </c>
      <c r="AK68" s="150" t="str">
        <f t="shared" si="31"/>
        <v/>
      </c>
      <c r="AL68" s="150" t="str">
        <f t="shared" si="31"/>
        <v/>
      </c>
      <c r="AM68" s="150" t="str">
        <f t="shared" si="31"/>
        <v/>
      </c>
      <c r="AN68" s="150" t="str">
        <f t="shared" si="31"/>
        <v/>
      </c>
      <c r="AO68" s="150" t="str">
        <f t="shared" si="31"/>
        <v/>
      </c>
      <c r="AP68" s="150" t="str">
        <f t="shared" si="31"/>
        <v/>
      </c>
      <c r="AQ68" s="150" t="str">
        <f t="shared" si="31"/>
        <v/>
      </c>
      <c r="AR68" s="150">
        <f t="shared" si="31"/>
        <v>8147.0357500000009</v>
      </c>
      <c r="AS68" s="150">
        <f t="shared" ca="1" si="31"/>
        <v>8075.9843092622659</v>
      </c>
      <c r="AT68" s="150">
        <f t="shared" ca="1" si="31"/>
        <v>9586.7608230161113</v>
      </c>
      <c r="AU68" s="150">
        <f t="shared" ca="1" si="31"/>
        <v>12097.44537632454</v>
      </c>
      <c r="AV68" s="150">
        <f t="shared" ca="1" si="32"/>
        <v>4899.6141154165653</v>
      </c>
      <c r="AW68" s="150">
        <f t="shared" ca="1" si="32"/>
        <v>3328.2476227229672</v>
      </c>
      <c r="AX68" s="150">
        <f t="shared" ca="1" si="32"/>
        <v>1276.0838580828822</v>
      </c>
      <c r="AY68" s="150">
        <f t="shared" ca="1" si="32"/>
        <v>7059.5072278250627</v>
      </c>
      <c r="AZ68" s="150">
        <f t="shared" ca="1" si="32"/>
        <v>5557.8455627300555</v>
      </c>
      <c r="BA68" s="148">
        <f t="shared" ca="1" si="42"/>
        <v>8751.0188772834244</v>
      </c>
      <c r="BB68" s="157">
        <f t="shared" ca="1" si="42"/>
        <v>7465.7157005323425</v>
      </c>
      <c r="BC68" s="157">
        <f t="shared" ca="1" si="42"/>
        <v>6850.5761534935036</v>
      </c>
      <c r="BD68" s="45" t="str">
        <f t="shared" si="30"/>
        <v/>
      </c>
      <c r="BE68" s="45" t="str">
        <f t="shared" si="30"/>
        <v/>
      </c>
      <c r="BF68" s="45" t="str">
        <f t="shared" si="30"/>
        <v/>
      </c>
      <c r="BG68" s="45" t="str">
        <f t="shared" si="30"/>
        <v/>
      </c>
      <c r="BH68" s="45" t="str">
        <f t="shared" si="30"/>
        <v/>
      </c>
      <c r="BI68" s="45" t="str">
        <f t="shared" si="30"/>
        <v/>
      </c>
      <c r="BJ68" s="45" t="str">
        <f t="shared" si="30"/>
        <v/>
      </c>
      <c r="BK68" s="45" t="str">
        <f t="shared" si="30"/>
        <v/>
      </c>
      <c r="BL68" s="45" t="str">
        <f t="shared" si="30"/>
        <v/>
      </c>
      <c r="BM68" s="45" t="str">
        <f t="shared" si="30"/>
        <v/>
      </c>
      <c r="BN68" s="45" t="str">
        <f t="shared" si="30"/>
        <v/>
      </c>
      <c r="BO68" s="45" t="str">
        <f t="shared" si="30"/>
        <v/>
      </c>
      <c r="BP68" s="45" t="str">
        <f t="shared" si="30"/>
        <v/>
      </c>
      <c r="BQ68" s="45">
        <f t="shared" si="29"/>
        <v>12159383.451445568</v>
      </c>
      <c r="BR68" s="45">
        <f t="shared" ca="1" si="29"/>
        <v>5233481.1973862629</v>
      </c>
      <c r="BS68" s="45">
        <f t="shared" ca="1" si="29"/>
        <v>14428274.236317594</v>
      </c>
      <c r="BT68" s="45">
        <f t="shared" ca="1" si="28"/>
        <v>41533209.130418025</v>
      </c>
      <c r="BU68" s="45">
        <f t="shared" ca="1" si="28"/>
        <v>38264.882150203535</v>
      </c>
      <c r="BV68" s="45">
        <f t="shared" ca="1" si="28"/>
        <v>928009.26911022107</v>
      </c>
      <c r="BW68" s="45">
        <f t="shared" ca="1" si="28"/>
        <v>20360130.6091226</v>
      </c>
      <c r="BX68" s="45">
        <f t="shared" ca="1" si="28"/>
        <v>1816994.0798787423</v>
      </c>
      <c r="BY68" s="45">
        <f t="shared" ca="1" si="28"/>
        <v>455398.81839169346</v>
      </c>
      <c r="BZ68" s="92">
        <f t="shared" ref="BZ68:BZ84" ca="1" si="47">SQRT(AVERAGE(BD68:BY68))</f>
        <v>3282.159615494058</v>
      </c>
      <c r="CA68" s="47">
        <f t="shared" ref="CA68:CA84" ca="1" si="48">BZ68/AD68</f>
        <v>0.5266050348652791</v>
      </c>
      <c r="CB68" s="42">
        <f t="shared" si="17"/>
        <v>1</v>
      </c>
      <c r="CC68" s="42">
        <f t="shared" si="41"/>
        <v>2</v>
      </c>
      <c r="CD68" s="42">
        <f t="shared" si="41"/>
        <v>3</v>
      </c>
      <c r="CE68" s="42">
        <f t="shared" si="41"/>
        <v>4</v>
      </c>
      <c r="CF68" s="42">
        <f t="shared" si="41"/>
        <v>5</v>
      </c>
      <c r="CG68" s="42">
        <f t="shared" si="41"/>
        <v>6</v>
      </c>
      <c r="CH68" s="42">
        <f t="shared" si="41"/>
        <v>7</v>
      </c>
      <c r="CI68" s="42">
        <f t="shared" si="41"/>
        <v>8</v>
      </c>
      <c r="CJ68" s="42">
        <f t="shared" si="41"/>
        <v>9</v>
      </c>
      <c r="CK68" s="42">
        <f t="shared" si="41"/>
        <v>10</v>
      </c>
      <c r="CL68" s="42">
        <f t="shared" si="41"/>
        <v>11</v>
      </c>
      <c r="CM68" s="42">
        <f t="shared" si="41"/>
        <v>12</v>
      </c>
      <c r="CN68" s="42">
        <f t="shared" si="41"/>
        <v>13</v>
      </c>
      <c r="CO68" s="42">
        <f t="shared" si="41"/>
        <v>14</v>
      </c>
      <c r="CP68" s="42">
        <f t="shared" si="41"/>
        <v>15</v>
      </c>
      <c r="CQ68" s="42">
        <f t="shared" si="41"/>
        <v>16</v>
      </c>
      <c r="CR68" s="42">
        <f t="shared" si="23"/>
        <v>17</v>
      </c>
      <c r="CS68" s="42">
        <f t="shared" si="23"/>
        <v>18</v>
      </c>
      <c r="CT68" s="42">
        <f t="shared" si="23"/>
        <v>19</v>
      </c>
      <c r="CU68" s="42">
        <f t="shared" si="23"/>
        <v>20</v>
      </c>
      <c r="CV68" s="42">
        <f t="shared" si="23"/>
        <v>21</v>
      </c>
      <c r="CW68" s="42">
        <f t="shared" si="23"/>
        <v>22</v>
      </c>
      <c r="CX68" s="42">
        <f t="shared" si="23"/>
        <v>23</v>
      </c>
      <c r="CY68" s="42">
        <f t="shared" si="23"/>
        <v>24</v>
      </c>
      <c r="CZ68" s="42">
        <f t="shared" si="40"/>
        <v>25</v>
      </c>
      <c r="DA68" s="104"/>
      <c r="DB68" s="105"/>
      <c r="DC68" s="105"/>
      <c r="DD68" s="105"/>
      <c r="DE68" s="105"/>
      <c r="DF68" s="105"/>
      <c r="DG68" s="105"/>
      <c r="DH68" s="105"/>
      <c r="DI68" s="105"/>
      <c r="DJ68" s="105"/>
      <c r="DK68" s="105"/>
      <c r="DL68" s="105"/>
      <c r="DM68" s="103">
        <f t="shared" si="43"/>
        <v>4243.745750000001</v>
      </c>
      <c r="DN68" s="103">
        <f t="shared" ca="1" si="43"/>
        <v>6159.8650296311334</v>
      </c>
      <c r="DO68" s="103">
        <f t="shared" ca="1" si="43"/>
        <v>7873.3129263236224</v>
      </c>
      <c r="DP68" s="103">
        <f t="shared" ca="1" si="43"/>
        <v>9985.3791513240812</v>
      </c>
      <c r="DQ68" s="103">
        <f t="shared" ca="1" si="43"/>
        <v>7442.4966333703233</v>
      </c>
      <c r="DR68" s="103">
        <f t="shared" ca="1" si="43"/>
        <v>5385.3721280466452</v>
      </c>
      <c r="DS68" s="103">
        <f t="shared" ca="1" si="43"/>
        <v>3330.7279930647637</v>
      </c>
      <c r="DT68" s="103">
        <f t="shared" ca="1" si="43"/>
        <v>5195.1176104449132</v>
      </c>
      <c r="DU68" s="103">
        <f t="shared" ca="1" si="43"/>
        <v>5376.4815865874843</v>
      </c>
      <c r="DV68" s="103">
        <f t="shared" ca="1" si="43"/>
        <v>5527.543698711379</v>
      </c>
      <c r="EI68" s="25">
        <f t="shared" si="44"/>
        <v>3903.29</v>
      </c>
      <c r="EJ68" s="25">
        <f t="shared" ca="1" si="44"/>
        <v>1916.1192796311325</v>
      </c>
      <c r="EK68" s="25">
        <f t="shared" ca="1" si="44"/>
        <v>1713.4478966924889</v>
      </c>
      <c r="EL68" s="25">
        <f t="shared" ca="1" si="44"/>
        <v>2112.0662250004589</v>
      </c>
      <c r="EM68" s="25">
        <f t="shared" ca="1" si="44"/>
        <v>-2542.882517953758</v>
      </c>
      <c r="EN68" s="25">
        <f t="shared" ca="1" si="44"/>
        <v>-2057.124505323678</v>
      </c>
      <c r="EO68" s="25">
        <f t="shared" ca="1" si="44"/>
        <v>-2054.6441349818815</v>
      </c>
      <c r="EP68" s="25">
        <f t="shared" ca="1" si="44"/>
        <v>1864.3896173801495</v>
      </c>
      <c r="EQ68" s="25">
        <f t="shared" ca="1" si="44"/>
        <v>181.36397614257112</v>
      </c>
      <c r="ER68" s="25">
        <f t="shared" ca="1" si="44"/>
        <v>151.06211212389462</v>
      </c>
      <c r="ES68" s="25">
        <f t="shared" ca="1" si="45"/>
        <v>0.47948890434823987</v>
      </c>
      <c r="ET68" s="25">
        <f t="shared" ca="1" si="45"/>
        <v>0.92517064670992566</v>
      </c>
      <c r="EU68" s="25">
        <f t="shared" ca="1" si="45"/>
        <v>0.74603244079832032</v>
      </c>
      <c r="EV68" s="25">
        <f t="shared" ca="1" si="45"/>
        <v>0.5668895220690352</v>
      </c>
      <c r="EW68" s="25">
        <f t="shared" ca="1" si="45"/>
        <v>1.174737906954016</v>
      </c>
      <c r="EX68" s="25">
        <f t="shared" ca="1" si="45"/>
        <v>0.83111388093879135</v>
      </c>
      <c r="EY68" s="25">
        <f t="shared" ca="1" si="45"/>
        <v>1.2879390807048212</v>
      </c>
      <c r="EZ68" s="25">
        <f t="shared" ca="1" si="45"/>
        <v>0.78117238762477725</v>
      </c>
      <c r="FA68" s="25">
        <f t="shared" ca="1" si="45"/>
        <v>1.2906277431912601</v>
      </c>
      <c r="FB68" s="25">
        <f t="shared" ca="1" si="45"/>
        <v>1.1310712947400299</v>
      </c>
      <c r="FC68" s="25">
        <f t="shared" ca="1" si="45"/>
        <v>1.5247777273179015</v>
      </c>
      <c r="FD68" s="25">
        <f t="shared" ca="1" si="45"/>
        <v>1.2609784646028803</v>
      </c>
      <c r="FE68" s="25">
        <f t="shared" ca="1" si="45"/>
        <v>1.1226886810001866</v>
      </c>
      <c r="FF68" s="25">
        <f t="shared" ca="1" si="45"/>
        <v>0.67622611882272721</v>
      </c>
      <c r="FG68" s="25">
        <f t="shared" ca="1" si="45"/>
        <v>0.92128683170184822</v>
      </c>
      <c r="FH68" s="25">
        <f t="shared" ca="1" si="45"/>
        <v>0.6861347048227302</v>
      </c>
      <c r="FI68" s="25">
        <f t="shared" ca="1" si="46"/>
        <v>0.98325737172230898</v>
      </c>
      <c r="FJ68" s="25">
        <f t="shared" ca="1" si="46"/>
        <v>0.8343958121449635</v>
      </c>
      <c r="FK68" s="25">
        <f t="shared" ca="1" si="46"/>
        <v>1.2893899665582587</v>
      </c>
      <c r="FL68" s="25">
        <f t="shared" ca="1" si="46"/>
        <v>1.1213325652651254</v>
      </c>
      <c r="FM68" s="25">
        <f t="shared" ca="1" si="46"/>
        <v>1.2581228109272611</v>
      </c>
      <c r="FN68" s="25">
        <f t="shared" ca="1" si="46"/>
        <v>1.1840529938688673</v>
      </c>
      <c r="FO68" s="25" t="str">
        <f t="shared" ref="FO68:FO84" si="49">G68&amp;H68</f>
        <v>Winters' model2</v>
      </c>
    </row>
    <row r="69" spans="1:171">
      <c r="A69" s="145">
        <v>0.57173267390323446</v>
      </c>
      <c r="B69" s="141">
        <v>1</v>
      </c>
      <c r="C69" s="141">
        <v>0.61401046806023207</v>
      </c>
      <c r="D69" s="141"/>
      <c r="E69" s="141">
        <f ca="1">AVERAGE(INDIRECT(ADDRESS(ROW(H69),COLUMN(AD69)-CW69+1,1,1)):INDIRECT(ADDRESS(ROW(H69),COLUMN(AD69)-CW69+1+11,1,1)))</f>
        <v>20712.79791666667</v>
      </c>
      <c r="F69" s="124"/>
      <c r="G69" s="39" t="s">
        <v>45</v>
      </c>
      <c r="H69" s="40">
        <v>3</v>
      </c>
      <c r="I69" s="41">
        <v>13358.629000000003</v>
      </c>
      <c r="J69" s="41">
        <v>20803.865999999976</v>
      </c>
      <c r="K69" s="41">
        <v>20017.845000000023</v>
      </c>
      <c r="L69" s="41">
        <v>15104.177</v>
      </c>
      <c r="M69" s="41">
        <v>26176.769000000015</v>
      </c>
      <c r="N69" s="41">
        <v>16747.22099999998</v>
      </c>
      <c r="O69" s="41">
        <v>26239.445000000032</v>
      </c>
      <c r="P69" s="41">
        <v>19977.948</v>
      </c>
      <c r="Q69" s="41">
        <v>24363.912000000008</v>
      </c>
      <c r="R69" s="41">
        <v>27562.603000000043</v>
      </c>
      <c r="S69" s="41">
        <v>19304.851999999999</v>
      </c>
      <c r="T69" s="41">
        <v>18896.307999999983</v>
      </c>
      <c r="U69" s="41">
        <v>18222.650000000001</v>
      </c>
      <c r="V69" s="41">
        <v>22709.071000000025</v>
      </c>
      <c r="W69" s="41">
        <v>16042.15199999998</v>
      </c>
      <c r="X69" s="41">
        <v>16228.581999999999</v>
      </c>
      <c r="Y69" s="41">
        <v>16931.791000000016</v>
      </c>
      <c r="Z69" s="41">
        <v>19747.198</v>
      </c>
      <c r="AA69" s="41">
        <v>19613.917000000005</v>
      </c>
      <c r="AB69" s="41">
        <v>23936.453999999991</v>
      </c>
      <c r="AC69" s="41">
        <v>26626.845000000001</v>
      </c>
      <c r="AD69" s="41">
        <v>29996.83699999996</v>
      </c>
      <c r="AE69" s="150"/>
      <c r="AF69" s="150" t="str">
        <f t="shared" si="31"/>
        <v/>
      </c>
      <c r="AG69" s="150" t="str">
        <f t="shared" si="31"/>
        <v/>
      </c>
      <c r="AH69" s="150" t="str">
        <f t="shared" si="31"/>
        <v/>
      </c>
      <c r="AI69" s="150" t="str">
        <f t="shared" si="31"/>
        <v/>
      </c>
      <c r="AJ69" s="150" t="str">
        <f t="shared" si="31"/>
        <v/>
      </c>
      <c r="AK69" s="150" t="str">
        <f t="shared" si="31"/>
        <v/>
      </c>
      <c r="AL69" s="150" t="str">
        <f t="shared" si="31"/>
        <v/>
      </c>
      <c r="AM69" s="150" t="str">
        <f t="shared" si="31"/>
        <v/>
      </c>
      <c r="AN69" s="150" t="str">
        <f t="shared" si="31"/>
        <v/>
      </c>
      <c r="AO69" s="150" t="str">
        <f t="shared" si="31"/>
        <v/>
      </c>
      <c r="AP69" s="150" t="str">
        <f t="shared" si="31"/>
        <v/>
      </c>
      <c r="AQ69" s="150" t="str">
        <f t="shared" si="31"/>
        <v/>
      </c>
      <c r="AR69" s="150">
        <f t="shared" si="31"/>
        <v>25576.818916666671</v>
      </c>
      <c r="AS69" s="150">
        <f t="shared" ca="1" si="31"/>
        <v>27047.999897209571</v>
      </c>
      <c r="AT69" s="150">
        <f t="shared" ca="1" si="31"/>
        <v>18267.625458831244</v>
      </c>
      <c r="AU69" s="150">
        <f t="shared" ca="1" si="31"/>
        <v>20020.351468834568</v>
      </c>
      <c r="AV69" s="150">
        <f t="shared" ca="1" si="32"/>
        <v>11920.58559395148</v>
      </c>
      <c r="AW69" s="150">
        <f t="shared" ca="1" si="32"/>
        <v>21903.525097993843</v>
      </c>
      <c r="AX69" s="150">
        <f t="shared" ca="1" si="32"/>
        <v>17396.42643377911</v>
      </c>
      <c r="AY69" s="150">
        <f t="shared" ca="1" si="32"/>
        <v>25045.353101381508</v>
      </c>
      <c r="AZ69" s="150">
        <f t="shared" ca="1" si="32"/>
        <v>25697.436693063031</v>
      </c>
      <c r="BA69" s="148">
        <f t="shared" ca="1" si="42"/>
        <v>25841.963378707798</v>
      </c>
      <c r="BB69" s="157">
        <f t="shared" ca="1" si="42"/>
        <v>27146.352723987409</v>
      </c>
      <c r="BC69" s="157">
        <f t="shared" ca="1" si="42"/>
        <v>29027.198153962476</v>
      </c>
      <c r="BD69" s="45" t="str">
        <f t="shared" si="30"/>
        <v/>
      </c>
      <c r="BE69" s="45" t="str">
        <f t="shared" si="30"/>
        <v/>
      </c>
      <c r="BF69" s="45" t="str">
        <f t="shared" si="30"/>
        <v/>
      </c>
      <c r="BG69" s="45" t="str">
        <f t="shared" si="30"/>
        <v/>
      </c>
      <c r="BH69" s="45" t="str">
        <f t="shared" si="30"/>
        <v/>
      </c>
      <c r="BI69" s="45" t="str">
        <f t="shared" si="30"/>
        <v/>
      </c>
      <c r="BJ69" s="45" t="str">
        <f t="shared" si="30"/>
        <v/>
      </c>
      <c r="BK69" s="45" t="str">
        <f t="shared" si="30"/>
        <v/>
      </c>
      <c r="BL69" s="45" t="str">
        <f t="shared" si="30"/>
        <v/>
      </c>
      <c r="BM69" s="45" t="str">
        <f t="shared" si="30"/>
        <v/>
      </c>
      <c r="BN69" s="45" t="str">
        <f t="shared" si="30"/>
        <v/>
      </c>
      <c r="BO69" s="45" t="str">
        <f t="shared" si="30"/>
        <v/>
      </c>
      <c r="BP69" s="45" t="str">
        <f t="shared" si="30"/>
        <v/>
      </c>
      <c r="BQ69" s="45">
        <f t="shared" si="29"/>
        <v>8223978.1135458844</v>
      </c>
      <c r="BR69" s="45">
        <f t="shared" ca="1" si="29"/>
        <v>121128687.93651277</v>
      </c>
      <c r="BS69" s="45">
        <f t="shared" ca="1" si="29"/>
        <v>4157698.2270024894</v>
      </c>
      <c r="BT69" s="45">
        <f t="shared" ca="1" si="28"/>
        <v>9539205.769647507</v>
      </c>
      <c r="BU69" s="45">
        <f t="shared" ca="1" si="28"/>
        <v>61255861.754512601</v>
      </c>
      <c r="BV69" s="45">
        <f t="shared" ca="1" si="28"/>
        <v>5242305.2423989596</v>
      </c>
      <c r="BW69" s="45">
        <f t="shared" ca="1" si="28"/>
        <v>42771960.566929013</v>
      </c>
      <c r="BX69" s="45">
        <f t="shared" ca="1" si="28"/>
        <v>2501116.6253959257</v>
      </c>
      <c r="BY69" s="45">
        <f t="shared" ca="1" si="28"/>
        <v>18484842.999289352</v>
      </c>
      <c r="BZ69" s="92">
        <f t="shared" ca="1" si="47"/>
        <v>5510.652887667612</v>
      </c>
      <c r="CA69" s="47">
        <f t="shared" ca="1" si="48"/>
        <v>0.18370779851447736</v>
      </c>
      <c r="CB69" s="42">
        <f t="shared" si="17"/>
        <v>1</v>
      </c>
      <c r="CC69" s="42">
        <f t="shared" si="41"/>
        <v>2</v>
      </c>
      <c r="CD69" s="42">
        <f t="shared" si="41"/>
        <v>3</v>
      </c>
      <c r="CE69" s="42">
        <f t="shared" si="41"/>
        <v>4</v>
      </c>
      <c r="CF69" s="42">
        <f t="shared" si="41"/>
        <v>5</v>
      </c>
      <c r="CG69" s="42">
        <f t="shared" si="41"/>
        <v>6</v>
      </c>
      <c r="CH69" s="42">
        <f t="shared" si="41"/>
        <v>7</v>
      </c>
      <c r="CI69" s="42">
        <f t="shared" si="41"/>
        <v>8</v>
      </c>
      <c r="CJ69" s="42">
        <f t="shared" si="41"/>
        <v>9</v>
      </c>
      <c r="CK69" s="42">
        <f t="shared" si="41"/>
        <v>10</v>
      </c>
      <c r="CL69" s="42">
        <f t="shared" si="41"/>
        <v>11</v>
      </c>
      <c r="CM69" s="42">
        <f t="shared" si="41"/>
        <v>12</v>
      </c>
      <c r="CN69" s="42">
        <f t="shared" si="41"/>
        <v>13</v>
      </c>
      <c r="CO69" s="42">
        <f t="shared" si="41"/>
        <v>14</v>
      </c>
      <c r="CP69" s="42">
        <f t="shared" si="41"/>
        <v>15</v>
      </c>
      <c r="CQ69" s="42">
        <f t="shared" si="41"/>
        <v>16</v>
      </c>
      <c r="CR69" s="42">
        <f t="shared" si="23"/>
        <v>17</v>
      </c>
      <c r="CS69" s="42">
        <f t="shared" si="23"/>
        <v>18</v>
      </c>
      <c r="CT69" s="42">
        <f t="shared" si="23"/>
        <v>19</v>
      </c>
      <c r="CU69" s="42">
        <f t="shared" si="23"/>
        <v>20</v>
      </c>
      <c r="CV69" s="42">
        <f t="shared" si="23"/>
        <v>21</v>
      </c>
      <c r="CW69" s="42">
        <f t="shared" si="23"/>
        <v>22</v>
      </c>
      <c r="CX69" s="42">
        <f t="shared" si="23"/>
        <v>23</v>
      </c>
      <c r="CY69" s="42">
        <f t="shared" si="23"/>
        <v>24</v>
      </c>
      <c r="CZ69" s="42">
        <f t="shared" si="40"/>
        <v>25</v>
      </c>
      <c r="DA69" s="104"/>
      <c r="DB69" s="105"/>
      <c r="DC69" s="105"/>
      <c r="DD69" s="105"/>
      <c r="DE69" s="105"/>
      <c r="DF69" s="105"/>
      <c r="DG69" s="105"/>
      <c r="DH69" s="105"/>
      <c r="DI69" s="105"/>
      <c r="DJ69" s="105"/>
      <c r="DK69" s="105"/>
      <c r="DL69" s="105"/>
      <c r="DM69" s="103">
        <f t="shared" si="43"/>
        <v>20712.79791666667</v>
      </c>
      <c r="DN69" s="103">
        <f t="shared" ca="1" si="43"/>
        <v>23880.39890693812</v>
      </c>
      <c r="DO69" s="103">
        <f t="shared" ca="1" si="43"/>
        <v>21074.012182884682</v>
      </c>
      <c r="DP69" s="103">
        <f t="shared" ca="1" si="43"/>
        <v>20547.181825859625</v>
      </c>
      <c r="DQ69" s="103">
        <f t="shared" ca="1" si="43"/>
        <v>16233.883709905553</v>
      </c>
      <c r="DR69" s="103">
        <f t="shared" ca="1" si="43"/>
        <v>19068.704403949698</v>
      </c>
      <c r="DS69" s="103">
        <f t="shared" ca="1" si="43"/>
        <v>18232.565418864404</v>
      </c>
      <c r="DT69" s="103">
        <f t="shared" ca="1" si="43"/>
        <v>21638.959260122956</v>
      </c>
      <c r="DU69" s="103">
        <f t="shared" ca="1" si="43"/>
        <v>23668.197976592994</v>
      </c>
      <c r="DV69" s="103">
        <f t="shared" ca="1" si="43"/>
        <v>23893.416611206674</v>
      </c>
      <c r="EI69" s="25">
        <f t="shared" si="44"/>
        <v>4864.0209999999988</v>
      </c>
      <c r="EJ69" s="25">
        <f t="shared" ca="1" si="44"/>
        <v>3167.6009902714504</v>
      </c>
      <c r="EK69" s="25">
        <f t="shared" ca="1" si="44"/>
        <v>-2806.3867240534382</v>
      </c>
      <c r="EL69" s="25">
        <f t="shared" ca="1" si="44"/>
        <v>-526.83035702505731</v>
      </c>
      <c r="EM69" s="25">
        <f t="shared" ca="1" si="44"/>
        <v>-4313.2981159540723</v>
      </c>
      <c r="EN69" s="25">
        <f t="shared" ca="1" si="44"/>
        <v>2834.8206940441451</v>
      </c>
      <c r="EO69" s="25">
        <f t="shared" ca="1" si="44"/>
        <v>-836.13898508529383</v>
      </c>
      <c r="EP69" s="25">
        <f t="shared" ca="1" si="44"/>
        <v>3406.3938412585521</v>
      </c>
      <c r="EQ69" s="25">
        <f t="shared" ca="1" si="44"/>
        <v>2029.2387164700376</v>
      </c>
      <c r="ER69" s="25">
        <f t="shared" ca="1" si="44"/>
        <v>225.21863461368048</v>
      </c>
      <c r="ES69" s="25">
        <f t="shared" ca="1" si="45"/>
        <v>0.64494565407075721</v>
      </c>
      <c r="ET69" s="25">
        <f t="shared" ca="1" si="45"/>
        <v>1.0043967060220305</v>
      </c>
      <c r="EU69" s="25">
        <f t="shared" ca="1" si="45"/>
        <v>0.96644813899780047</v>
      </c>
      <c r="EV69" s="25">
        <f t="shared" ca="1" si="45"/>
        <v>0.72921954150126378</v>
      </c>
      <c r="EW69" s="25">
        <f t="shared" ca="1" si="45"/>
        <v>1.2637968615015902</v>
      </c>
      <c r="EX69" s="25">
        <f t="shared" ca="1" si="45"/>
        <v>0.80854460451836074</v>
      </c>
      <c r="EY69" s="25">
        <f t="shared" ca="1" si="45"/>
        <v>1.2668228167709932</v>
      </c>
      <c r="EZ69" s="25">
        <f t="shared" ca="1" si="45"/>
        <v>0.96452193858004243</v>
      </c>
      <c r="FA69" s="25">
        <f t="shared" ca="1" si="45"/>
        <v>1.1762733406670978</v>
      </c>
      <c r="FB69" s="25">
        <f t="shared" ca="1" si="45"/>
        <v>1.330703998121936</v>
      </c>
      <c r="FC69" s="25">
        <f t="shared" ca="1" si="45"/>
        <v>0.9320253148642097</v>
      </c>
      <c r="FD69" s="25">
        <f t="shared" ca="1" si="45"/>
        <v>0.9123010843839191</v>
      </c>
      <c r="FE69" s="25">
        <f t="shared" ca="1" si="45"/>
        <v>0.91323135357633611</v>
      </c>
      <c r="FF69" s="25">
        <f t="shared" ca="1" si="45"/>
        <v>0.86536450962243294</v>
      </c>
      <c r="FG69" s="25">
        <f t="shared" ca="1" si="45"/>
        <v>0.95521501462780711</v>
      </c>
      <c r="FH69" s="25">
        <f t="shared" ca="1" si="45"/>
        <v>0.79704770604097863</v>
      </c>
      <c r="FI69" s="25">
        <f t="shared" ca="1" si="46"/>
        <v>1.1293876018573139</v>
      </c>
      <c r="FJ69" s="25">
        <f t="shared" ca="1" si="46"/>
        <v>1.0081532689353163</v>
      </c>
      <c r="FK69" s="25">
        <f t="shared" ca="1" si="46"/>
        <v>1.1145588628126419</v>
      </c>
      <c r="FL69" s="25">
        <f t="shared" ca="1" si="46"/>
        <v>1.192840225459264</v>
      </c>
      <c r="FM69" s="25">
        <f t="shared" ca="1" si="46"/>
        <v>1.0505169637528959</v>
      </c>
      <c r="FN69" s="25">
        <f t="shared" ca="1" si="46"/>
        <v>1.1229941818651443</v>
      </c>
      <c r="FO69" s="25" t="str">
        <f t="shared" si="49"/>
        <v>Winters' model3</v>
      </c>
    </row>
    <row r="70" spans="1:171">
      <c r="A70" s="145">
        <v>0.23616210206387467</v>
      </c>
      <c r="B70" s="141">
        <v>1</v>
      </c>
      <c r="C70" s="141">
        <v>0.36985682729277147</v>
      </c>
      <c r="D70" s="141"/>
      <c r="E70" s="141">
        <f ca="1">AVERAGE(INDIRECT(ADDRESS(ROW(H70),COLUMN(AD70)-CW70+1,1,1)):INDIRECT(ADDRESS(ROW(H70),COLUMN(AD70)-CW70+1+11,1,1)))</f>
        <v>1450.7582499999999</v>
      </c>
      <c r="F70" s="131"/>
      <c r="G70" s="39" t="s">
        <v>45</v>
      </c>
      <c r="H70" s="40">
        <v>4</v>
      </c>
      <c r="I70" s="41">
        <v>400.44400000000007</v>
      </c>
      <c r="J70" s="41">
        <v>2589.7540000000013</v>
      </c>
      <c r="K70" s="41">
        <v>1336.3789999999999</v>
      </c>
      <c r="L70" s="41">
        <v>1186.7760000000001</v>
      </c>
      <c r="M70" s="41">
        <v>839.32799999999986</v>
      </c>
      <c r="N70" s="41">
        <v>2024.5600000000004</v>
      </c>
      <c r="O70" s="41">
        <v>1502.1150000000002</v>
      </c>
      <c r="P70" s="41">
        <v>1294.5919999999994</v>
      </c>
      <c r="Q70" s="41">
        <v>1067.4629999999997</v>
      </c>
      <c r="R70" s="41">
        <v>2076.5049999999987</v>
      </c>
      <c r="S70" s="41">
        <v>2051.2060000000006</v>
      </c>
      <c r="T70" s="41">
        <v>1039.9769999999999</v>
      </c>
      <c r="U70" s="41">
        <v>922.57100000000003</v>
      </c>
      <c r="V70" s="41">
        <v>380.83800000000002</v>
      </c>
      <c r="W70" s="41">
        <v>2476.893</v>
      </c>
      <c r="X70" s="41">
        <v>453.2119999999997</v>
      </c>
      <c r="Y70" s="41">
        <v>2092.7499999999995</v>
      </c>
      <c r="Z70" s="41">
        <v>823.12700000000018</v>
      </c>
      <c r="AA70" s="41">
        <v>1106.48</v>
      </c>
      <c r="AB70" s="41">
        <v>864.59699999999987</v>
      </c>
      <c r="AC70" s="41">
        <v>1086.4360000000004</v>
      </c>
      <c r="AD70" s="41">
        <v>1891.8890000000001</v>
      </c>
      <c r="AE70" s="150"/>
      <c r="AF70" s="150" t="str">
        <f t="shared" si="31"/>
        <v/>
      </c>
      <c r="AG70" s="150" t="str">
        <f t="shared" si="31"/>
        <v/>
      </c>
      <c r="AH70" s="150" t="str">
        <f t="shared" si="31"/>
        <v/>
      </c>
      <c r="AI70" s="150" t="str">
        <f t="shared" si="31"/>
        <v/>
      </c>
      <c r="AJ70" s="150" t="str">
        <f t="shared" si="31"/>
        <v/>
      </c>
      <c r="AK70" s="150" t="str">
        <f t="shared" si="31"/>
        <v/>
      </c>
      <c r="AL70" s="150" t="str">
        <f t="shared" si="31"/>
        <v/>
      </c>
      <c r="AM70" s="150" t="str">
        <f t="shared" si="31"/>
        <v/>
      </c>
      <c r="AN70" s="150" t="str">
        <f t="shared" si="31"/>
        <v/>
      </c>
      <c r="AO70" s="150" t="str">
        <f t="shared" si="31"/>
        <v/>
      </c>
      <c r="AP70" s="150" t="str">
        <f t="shared" si="31"/>
        <v/>
      </c>
      <c r="AQ70" s="150" t="str">
        <f t="shared" si="31"/>
        <v/>
      </c>
      <c r="AR70" s="150">
        <f t="shared" si="31"/>
        <v>1972.8852499999998</v>
      </c>
      <c r="AS70" s="150">
        <f t="shared" ca="1" si="31"/>
        <v>1663.9374892373212</v>
      </c>
      <c r="AT70" s="150">
        <f t="shared" ca="1" si="31"/>
        <v>2254.635865543858</v>
      </c>
      <c r="AU70" s="150">
        <f t="shared" ca="1" si="31"/>
        <v>1800.0391848247586</v>
      </c>
      <c r="AV70" s="150">
        <f t="shared" ca="1" si="32"/>
        <v>2605.3840039232241</v>
      </c>
      <c r="AW70" s="150">
        <f t="shared" ca="1" si="32"/>
        <v>2029.5761158592732</v>
      </c>
      <c r="AX70" s="150">
        <f t="shared" ca="1" si="32"/>
        <v>1475.8955634928384</v>
      </c>
      <c r="AY70" s="150">
        <f t="shared" ca="1" si="32"/>
        <v>909.67983066698253</v>
      </c>
      <c r="AZ70" s="150">
        <f t="shared" ca="1" si="32"/>
        <v>730.94249437786402</v>
      </c>
      <c r="BA70" s="148">
        <f t="shared" ca="1" si="42"/>
        <v>591.47543646368717</v>
      </c>
      <c r="BB70" s="157">
        <f t="shared" ca="1" si="42"/>
        <v>75.788460051519024</v>
      </c>
      <c r="BC70" s="157">
        <f t="shared" ca="1" si="42"/>
        <v>-168.74832274691505</v>
      </c>
      <c r="BD70" s="45" t="str">
        <f t="shared" si="30"/>
        <v/>
      </c>
      <c r="BE70" s="45" t="str">
        <f t="shared" si="30"/>
        <v/>
      </c>
      <c r="BF70" s="45" t="str">
        <f t="shared" si="30"/>
        <v/>
      </c>
      <c r="BG70" s="45" t="str">
        <f t="shared" si="30"/>
        <v/>
      </c>
      <c r="BH70" s="45" t="str">
        <f t="shared" si="30"/>
        <v/>
      </c>
      <c r="BI70" s="45" t="str">
        <f t="shared" si="30"/>
        <v/>
      </c>
      <c r="BJ70" s="45" t="str">
        <f t="shared" si="30"/>
        <v/>
      </c>
      <c r="BK70" s="45" t="str">
        <f t="shared" si="30"/>
        <v/>
      </c>
      <c r="BL70" s="45" t="str">
        <f t="shared" si="30"/>
        <v/>
      </c>
      <c r="BM70" s="45" t="str">
        <f t="shared" si="30"/>
        <v/>
      </c>
      <c r="BN70" s="45" t="str">
        <f t="shared" si="30"/>
        <v/>
      </c>
      <c r="BO70" s="45" t="str">
        <f t="shared" si="30"/>
        <v/>
      </c>
      <c r="BP70" s="45" t="str">
        <f t="shared" si="30"/>
        <v/>
      </c>
      <c r="BQ70" s="45">
        <f t="shared" si="29"/>
        <v>2534614.446232562</v>
      </c>
      <c r="BR70" s="45">
        <f t="shared" ca="1" si="29"/>
        <v>660896.66247940809</v>
      </c>
      <c r="BS70" s="45">
        <f t="shared" ca="1" si="29"/>
        <v>3245127.9433509768</v>
      </c>
      <c r="BT70" s="45">
        <f t="shared" ca="1" si="28"/>
        <v>85679.621320554041</v>
      </c>
      <c r="BU70" s="45">
        <f t="shared" ca="1" si="28"/>
        <v>3176440.0280333865</v>
      </c>
      <c r="BV70" s="45">
        <f t="shared" ca="1" si="28"/>
        <v>852106.43911447667</v>
      </c>
      <c r="BW70" s="45">
        <f t="shared" ca="1" si="28"/>
        <v>373685.93372840795</v>
      </c>
      <c r="BX70" s="45">
        <f t="shared" ca="1" si="28"/>
        <v>31242.74339728248</v>
      </c>
      <c r="BY70" s="45">
        <f t="shared" ca="1" si="28"/>
        <v>1347796.7889162486</v>
      </c>
      <c r="BZ70" s="92">
        <f t="shared" ca="1" si="47"/>
        <v>1169.4058608528665</v>
      </c>
      <c r="CA70" s="47">
        <f t="shared" ca="1" si="48"/>
        <v>0.61811547128444977</v>
      </c>
      <c r="CB70" s="42">
        <f t="shared" si="17"/>
        <v>1</v>
      </c>
      <c r="CC70" s="42">
        <f t="shared" si="41"/>
        <v>2</v>
      </c>
      <c r="CD70" s="42">
        <f t="shared" si="41"/>
        <v>3</v>
      </c>
      <c r="CE70" s="42">
        <f t="shared" si="41"/>
        <v>4</v>
      </c>
      <c r="CF70" s="42">
        <f t="shared" si="41"/>
        <v>5</v>
      </c>
      <c r="CG70" s="42">
        <f t="shared" si="41"/>
        <v>6</v>
      </c>
      <c r="CH70" s="42">
        <f t="shared" si="41"/>
        <v>7</v>
      </c>
      <c r="CI70" s="42">
        <f t="shared" si="41"/>
        <v>8</v>
      </c>
      <c r="CJ70" s="42">
        <f t="shared" si="41"/>
        <v>9</v>
      </c>
      <c r="CK70" s="42">
        <f t="shared" si="41"/>
        <v>10</v>
      </c>
      <c r="CL70" s="42">
        <f t="shared" si="41"/>
        <v>11</v>
      </c>
      <c r="CM70" s="42">
        <f t="shared" si="41"/>
        <v>12</v>
      </c>
      <c r="CN70" s="42">
        <f t="shared" si="41"/>
        <v>13</v>
      </c>
      <c r="CO70" s="42">
        <f t="shared" si="41"/>
        <v>14</v>
      </c>
      <c r="CP70" s="42">
        <f t="shared" si="41"/>
        <v>15</v>
      </c>
      <c r="CQ70" s="42">
        <f t="shared" si="41"/>
        <v>16</v>
      </c>
      <c r="CR70" s="42">
        <f t="shared" si="23"/>
        <v>17</v>
      </c>
      <c r="CS70" s="42">
        <f t="shared" si="23"/>
        <v>18</v>
      </c>
      <c r="CT70" s="42">
        <f t="shared" si="23"/>
        <v>19</v>
      </c>
      <c r="CU70" s="42">
        <f t="shared" si="23"/>
        <v>20</v>
      </c>
      <c r="CV70" s="42">
        <f t="shared" si="23"/>
        <v>21</v>
      </c>
      <c r="CW70" s="42">
        <f t="shared" si="23"/>
        <v>22</v>
      </c>
      <c r="CX70" s="42">
        <f t="shared" si="23"/>
        <v>23</v>
      </c>
      <c r="CY70" s="42">
        <f t="shared" si="23"/>
        <v>24</v>
      </c>
      <c r="CZ70" s="42">
        <f t="shared" si="40"/>
        <v>25</v>
      </c>
      <c r="DA70" s="104"/>
      <c r="DB70" s="105"/>
      <c r="DC70" s="105"/>
      <c r="DD70" s="105"/>
      <c r="DE70" s="105"/>
      <c r="DF70" s="105"/>
      <c r="DG70" s="105"/>
      <c r="DH70" s="105"/>
      <c r="DI70" s="105"/>
      <c r="DJ70" s="105"/>
      <c r="DK70" s="105"/>
      <c r="DL70" s="105"/>
      <c r="DM70" s="103">
        <f t="shared" si="43"/>
        <v>1450.7582499999999</v>
      </c>
      <c r="DN70" s="103">
        <f t="shared" ca="1" si="43"/>
        <v>1557.3478696186605</v>
      </c>
      <c r="DO70" s="103">
        <f t="shared" ca="1" si="43"/>
        <v>1905.9918675812592</v>
      </c>
      <c r="DP70" s="103">
        <f t="shared" ca="1" si="43"/>
        <v>1853.0155262030089</v>
      </c>
      <c r="DQ70" s="103">
        <f t="shared" ca="1" si="43"/>
        <v>2229.1997650631165</v>
      </c>
      <c r="DR70" s="103">
        <f t="shared" ca="1" si="43"/>
        <v>2129.3879404611948</v>
      </c>
      <c r="DS70" s="103">
        <f t="shared" ca="1" si="43"/>
        <v>1802.6417519770166</v>
      </c>
      <c r="DT70" s="103">
        <f t="shared" ca="1" si="43"/>
        <v>1356.1607913219996</v>
      </c>
      <c r="DU70" s="103">
        <f t="shared" ca="1" si="43"/>
        <v>1043.5516428499318</v>
      </c>
      <c r="DV70" s="103">
        <f t="shared" ca="1" si="43"/>
        <v>870.47487490009883</v>
      </c>
      <c r="EI70" s="25">
        <f t="shared" si="44"/>
        <v>522.12699999999995</v>
      </c>
      <c r="EJ70" s="25">
        <f t="shared" ca="1" si="44"/>
        <v>106.58961961866066</v>
      </c>
      <c r="EK70" s="25">
        <f t="shared" ca="1" si="44"/>
        <v>348.64399796259863</v>
      </c>
      <c r="EL70" s="25">
        <f t="shared" ca="1" si="44"/>
        <v>-52.976341378250254</v>
      </c>
      <c r="EM70" s="25">
        <f t="shared" ca="1" si="44"/>
        <v>376.1842388601076</v>
      </c>
      <c r="EN70" s="25">
        <f t="shared" ca="1" si="44"/>
        <v>-99.811824601921671</v>
      </c>
      <c r="EO70" s="25">
        <f t="shared" ca="1" si="44"/>
        <v>-326.74618848417822</v>
      </c>
      <c r="EP70" s="25">
        <f t="shared" ca="1" si="44"/>
        <v>-446.48096065501704</v>
      </c>
      <c r="EQ70" s="25">
        <f t="shared" ca="1" si="44"/>
        <v>-312.60914847206777</v>
      </c>
      <c r="ER70" s="25">
        <f t="shared" ca="1" si="44"/>
        <v>-173.07676794983297</v>
      </c>
      <c r="ES70" s="25">
        <f t="shared" ca="1" si="45"/>
        <v>0.27602393438052142</v>
      </c>
      <c r="ET70" s="25">
        <f t="shared" ca="1" si="45"/>
        <v>1.7851037552259321</v>
      </c>
      <c r="EU70" s="25">
        <f t="shared" ca="1" si="45"/>
        <v>0.92115898703316013</v>
      </c>
      <c r="EV70" s="25">
        <f t="shared" ca="1" si="45"/>
        <v>0.81803842921451608</v>
      </c>
      <c r="EW70" s="25">
        <f t="shared" ca="1" si="45"/>
        <v>0.57854435775223056</v>
      </c>
      <c r="EX70" s="25">
        <f t="shared" ca="1" si="45"/>
        <v>1.3955185159208989</v>
      </c>
      <c r="EY70" s="25">
        <f t="shared" ca="1" si="45"/>
        <v>1.0353999365504214</v>
      </c>
      <c r="EZ70" s="25">
        <f t="shared" ca="1" si="45"/>
        <v>0.89235542861810335</v>
      </c>
      <c r="FA70" s="25">
        <f t="shared" ca="1" si="45"/>
        <v>0.73579660842873018</v>
      </c>
      <c r="FB70" s="25">
        <f t="shared" ca="1" si="45"/>
        <v>1.431323930089661</v>
      </c>
      <c r="FC70" s="25">
        <f t="shared" ca="1" si="45"/>
        <v>1.4138854629984015</v>
      </c>
      <c r="FD70" s="25">
        <f t="shared" ca="1" si="45"/>
        <v>0.71685065378742463</v>
      </c>
      <c r="FE70" s="25">
        <f t="shared" ca="1" si="45"/>
        <v>0.81566262746507412</v>
      </c>
      <c r="FF70" s="25">
        <f t="shared" ca="1" si="45"/>
        <v>0.60592710578373066</v>
      </c>
      <c r="FG70" s="25">
        <f t="shared" ca="1" si="45"/>
        <v>0.84520570122182748</v>
      </c>
      <c r="FH70" s="25">
        <f t="shared" ca="1" si="45"/>
        <v>0.9698363399445542</v>
      </c>
      <c r="FI70" s="25">
        <f t="shared" ca="1" si="46"/>
        <v>0.99966801769549196</v>
      </c>
      <c r="FJ70" s="25">
        <f t="shared" ca="1" si="46"/>
        <v>0.70528193777402348</v>
      </c>
      <c r="FK70" s="25">
        <f t="shared" ca="1" si="46"/>
        <v>0.69067912411950494</v>
      </c>
      <c r="FL70" s="25">
        <f t="shared" ca="1" si="46"/>
        <v>1.137734864851941</v>
      </c>
      <c r="FM70" s="25">
        <f t="shared" ca="1" si="46"/>
        <v>1.2760062241863854</v>
      </c>
      <c r="FN70" s="25">
        <f t="shared" ca="1" si="46"/>
        <v>1.2555649093214121</v>
      </c>
      <c r="FO70" s="25" t="str">
        <f t="shared" si="49"/>
        <v>Winters' model4</v>
      </c>
    </row>
    <row r="71" spans="1:171">
      <c r="A71" s="145">
        <v>0.89878065609331148</v>
      </c>
      <c r="B71" s="141">
        <v>0.56965039526230221</v>
      </c>
      <c r="C71" s="141">
        <v>0.68584636813496358</v>
      </c>
      <c r="D71" s="141"/>
      <c r="E71" s="141">
        <f ca="1">AVERAGE(INDIRECT(ADDRESS(ROW(H71),COLUMN(AD71)-CW71+1,1,1)):INDIRECT(ADDRESS(ROW(H71),COLUMN(AD71)-CW71+1+11,1,1)))</f>
        <v>229.53274999999999</v>
      </c>
      <c r="F71" s="124"/>
      <c r="G71" s="39" t="s">
        <v>45</v>
      </c>
      <c r="H71" s="40">
        <v>5</v>
      </c>
      <c r="I71" s="41">
        <v>590.74400000000014</v>
      </c>
      <c r="J71" s="41">
        <v>126.19599999999998</v>
      </c>
      <c r="K71" s="41">
        <v>73.710000000000008</v>
      </c>
      <c r="L71" s="41">
        <v>245.74300000000002</v>
      </c>
      <c r="M71" s="41">
        <v>257</v>
      </c>
      <c r="N71" s="41">
        <v>246</v>
      </c>
      <c r="O71" s="41">
        <v>142</v>
      </c>
      <c r="P71" s="41">
        <v>141</v>
      </c>
      <c r="Q71" s="41">
        <v>140</v>
      </c>
      <c r="R71" s="41">
        <v>269</v>
      </c>
      <c r="S71" s="41">
        <v>255</v>
      </c>
      <c r="T71" s="41">
        <v>268</v>
      </c>
      <c r="U71" s="41">
        <v>148</v>
      </c>
      <c r="V71" s="41">
        <v>141</v>
      </c>
      <c r="W71" s="41">
        <v>130</v>
      </c>
      <c r="X71" s="41">
        <v>256</v>
      </c>
      <c r="Y71" s="41">
        <v>263</v>
      </c>
      <c r="Z71" s="41">
        <v>278</v>
      </c>
      <c r="AA71" s="41">
        <v>133</v>
      </c>
      <c r="AB71" s="41">
        <v>133</v>
      </c>
      <c r="AC71" s="41">
        <v>148</v>
      </c>
      <c r="AD71" s="41">
        <v>273</v>
      </c>
      <c r="AE71" s="150"/>
      <c r="AF71" s="150" t="str">
        <f t="shared" si="31"/>
        <v/>
      </c>
      <c r="AG71" s="150" t="str">
        <f t="shared" si="31"/>
        <v/>
      </c>
      <c r="AH71" s="150" t="str">
        <f t="shared" si="31"/>
        <v/>
      </c>
      <c r="AI71" s="150" t="str">
        <f t="shared" si="31"/>
        <v/>
      </c>
      <c r="AJ71" s="150" t="str">
        <f t="shared" si="31"/>
        <v/>
      </c>
      <c r="AK71" s="150" t="str">
        <f t="shared" si="31"/>
        <v/>
      </c>
      <c r="AL71" s="150" t="str">
        <f t="shared" si="31"/>
        <v/>
      </c>
      <c r="AM71" s="150" t="str">
        <f t="shared" si="31"/>
        <v/>
      </c>
      <c r="AN71" s="150" t="str">
        <f t="shared" si="31"/>
        <v/>
      </c>
      <c r="AO71" s="150" t="str">
        <f t="shared" si="31"/>
        <v/>
      </c>
      <c r="AP71" s="150" t="str">
        <f t="shared" si="31"/>
        <v/>
      </c>
      <c r="AQ71" s="150" t="str">
        <f t="shared" si="31"/>
        <v/>
      </c>
      <c r="AR71" s="150">
        <f t="shared" si="31"/>
        <v>-213.21125000000015</v>
      </c>
      <c r="AS71" s="150">
        <f t="shared" ca="1" si="31"/>
        <v>6.6423106430271162</v>
      </c>
      <c r="AT71" s="150">
        <f t="shared" ca="1" si="31"/>
        <v>366.10243750184526</v>
      </c>
      <c r="AU71" s="150">
        <f t="shared" ca="1" si="31"/>
        <v>188.53561097959096</v>
      </c>
      <c r="AV71" s="150">
        <f t="shared" ca="1" si="32"/>
        <v>190.50184594192368</v>
      </c>
      <c r="AW71" s="150">
        <f t="shared" ca="1" si="32"/>
        <v>247.99069418395612</v>
      </c>
      <c r="AX71" s="150">
        <f t="shared" ca="1" si="32"/>
        <v>196.9999697458851</v>
      </c>
      <c r="AY71" s="150">
        <f t="shared" ca="1" si="32"/>
        <v>203.19786511055625</v>
      </c>
      <c r="AZ71" s="150">
        <f t="shared" ca="1" si="32"/>
        <v>247.51727076685432</v>
      </c>
      <c r="BA71" s="148">
        <f t="shared" ca="1" si="42"/>
        <v>284.82473616666044</v>
      </c>
      <c r="BB71" s="157">
        <f t="shared" ca="1" si="42"/>
        <v>309.69189047195135</v>
      </c>
      <c r="BC71" s="157">
        <f t="shared" ca="1" si="42"/>
        <v>148.86752421673847</v>
      </c>
      <c r="BD71" s="45" t="str">
        <f t="shared" si="30"/>
        <v/>
      </c>
      <c r="BE71" s="45" t="str">
        <f t="shared" si="30"/>
        <v/>
      </c>
      <c r="BF71" s="45" t="str">
        <f t="shared" si="30"/>
        <v/>
      </c>
      <c r="BG71" s="45" t="str">
        <f t="shared" si="30"/>
        <v/>
      </c>
      <c r="BH71" s="45" t="str">
        <f t="shared" si="30"/>
        <v/>
      </c>
      <c r="BI71" s="45" t="str">
        <f t="shared" si="30"/>
        <v/>
      </c>
      <c r="BJ71" s="45" t="str">
        <f t="shared" si="30"/>
        <v/>
      </c>
      <c r="BK71" s="45" t="str">
        <f t="shared" si="30"/>
        <v/>
      </c>
      <c r="BL71" s="45" t="str">
        <f t="shared" si="30"/>
        <v/>
      </c>
      <c r="BM71" s="45" t="str">
        <f t="shared" si="30"/>
        <v/>
      </c>
      <c r="BN71" s="45" t="str">
        <f t="shared" si="30"/>
        <v/>
      </c>
      <c r="BO71" s="45" t="str">
        <f t="shared" si="30"/>
        <v/>
      </c>
      <c r="BP71" s="45" t="str">
        <f t="shared" si="30"/>
        <v/>
      </c>
      <c r="BQ71" s="45">
        <f t="shared" si="29"/>
        <v>125465.60962656263</v>
      </c>
      <c r="BR71" s="45">
        <f t="shared" ca="1" si="29"/>
        <v>15217.119523491421</v>
      </c>
      <c r="BS71" s="45">
        <f t="shared" ca="1" si="29"/>
        <v>12122.546743847741</v>
      </c>
      <c r="BT71" s="45">
        <f t="shared" ca="1" si="28"/>
        <v>5544.9452321828148</v>
      </c>
      <c r="BU71" s="45">
        <f t="shared" ca="1" si="28"/>
        <v>7655.9269635708579</v>
      </c>
      <c r="BV71" s="45">
        <f t="shared" ca="1" si="28"/>
        <v>13222.85974890812</v>
      </c>
      <c r="BW71" s="45">
        <f t="shared" ca="1" si="28"/>
        <v>4095.9961274742077</v>
      </c>
      <c r="BX71" s="45">
        <f t="shared" ca="1" si="28"/>
        <v>3046.8043127631631</v>
      </c>
      <c r="BY71" s="45">
        <f t="shared" ca="1" si="28"/>
        <v>649.36948916981726</v>
      </c>
      <c r="BZ71" s="92">
        <f t="shared" ca="1" si="47"/>
        <v>144.15315072209788</v>
      </c>
      <c r="CA71" s="47">
        <f t="shared" ca="1" si="48"/>
        <v>0.52803351912856367</v>
      </c>
      <c r="CB71" s="42">
        <f t="shared" si="17"/>
        <v>1</v>
      </c>
      <c r="CC71" s="42">
        <f t="shared" si="41"/>
        <v>2</v>
      </c>
      <c r="CD71" s="42">
        <f t="shared" si="41"/>
        <v>3</v>
      </c>
      <c r="CE71" s="42">
        <f t="shared" si="41"/>
        <v>4</v>
      </c>
      <c r="CF71" s="42">
        <f t="shared" si="41"/>
        <v>5</v>
      </c>
      <c r="CG71" s="42">
        <f t="shared" si="41"/>
        <v>6</v>
      </c>
      <c r="CH71" s="42">
        <f t="shared" si="41"/>
        <v>7</v>
      </c>
      <c r="CI71" s="42">
        <f t="shared" si="41"/>
        <v>8</v>
      </c>
      <c r="CJ71" s="42">
        <f t="shared" si="41"/>
        <v>9</v>
      </c>
      <c r="CK71" s="42">
        <f t="shared" si="41"/>
        <v>10</v>
      </c>
      <c r="CL71" s="42">
        <f t="shared" si="41"/>
        <v>11</v>
      </c>
      <c r="CM71" s="42">
        <f t="shared" si="41"/>
        <v>12</v>
      </c>
      <c r="CN71" s="42">
        <f t="shared" si="41"/>
        <v>13</v>
      </c>
      <c r="CO71" s="42">
        <f t="shared" si="41"/>
        <v>14</v>
      </c>
      <c r="CP71" s="42">
        <f t="shared" si="41"/>
        <v>15</v>
      </c>
      <c r="CQ71" s="42">
        <f t="shared" si="41"/>
        <v>16</v>
      </c>
      <c r="CR71" s="42">
        <f t="shared" si="23"/>
        <v>17</v>
      </c>
      <c r="CS71" s="42">
        <f t="shared" si="23"/>
        <v>18</v>
      </c>
      <c r="CT71" s="42">
        <f t="shared" si="23"/>
        <v>19</v>
      </c>
      <c r="CU71" s="42">
        <f t="shared" si="23"/>
        <v>20</v>
      </c>
      <c r="CV71" s="42">
        <f t="shared" si="23"/>
        <v>21</v>
      </c>
      <c r="CW71" s="42">
        <f t="shared" si="23"/>
        <v>22</v>
      </c>
      <c r="CX71" s="42">
        <f t="shared" si="23"/>
        <v>23</v>
      </c>
      <c r="CY71" s="42">
        <f t="shared" si="23"/>
        <v>24</v>
      </c>
      <c r="CZ71" s="42">
        <f t="shared" si="40"/>
        <v>25</v>
      </c>
      <c r="DA71" s="104"/>
      <c r="DB71" s="105"/>
      <c r="DC71" s="105"/>
      <c r="DD71" s="105"/>
      <c r="DE71" s="105"/>
      <c r="DF71" s="105"/>
      <c r="DG71" s="105"/>
      <c r="DH71" s="105"/>
      <c r="DI71" s="105"/>
      <c r="DJ71" s="105"/>
      <c r="DK71" s="105"/>
      <c r="DL71" s="105"/>
      <c r="DM71" s="103">
        <f t="shared" si="43"/>
        <v>229.53274999999999</v>
      </c>
      <c r="DN71" s="103">
        <f t="shared" ca="1" si="43"/>
        <v>208.91941211619778</v>
      </c>
      <c r="DO71" s="103">
        <f t="shared" ca="1" si="43"/>
        <v>364.51641434630278</v>
      </c>
      <c r="DP71" s="103">
        <f t="shared" ca="1" si="43"/>
        <v>251.96692667820176</v>
      </c>
      <c r="DQ71" s="103">
        <f t="shared" ca="1" si="43"/>
        <v>230.19937945844069</v>
      </c>
      <c r="DR71" s="103">
        <f t="shared" ca="1" si="43"/>
        <v>252.41778725719266</v>
      </c>
      <c r="DS71" s="103">
        <f t="shared" ca="1" si="43"/>
        <v>218.32572451594714</v>
      </c>
      <c r="DT71" s="103">
        <f t="shared" ca="1" si="43"/>
        <v>214.53486173062782</v>
      </c>
      <c r="DU71" s="103">
        <f t="shared" ca="1" si="43"/>
        <v>238.65569855191245</v>
      </c>
      <c r="DV71" s="103">
        <f t="shared" ca="1" si="43"/>
        <v>234.42078337227269</v>
      </c>
      <c r="EI71" s="25">
        <f t="shared" si="44"/>
        <v>-442.74400000000014</v>
      </c>
      <c r="EJ71" s="25">
        <f t="shared" ca="1" si="44"/>
        <v>-202.27710147317066</v>
      </c>
      <c r="EK71" s="25">
        <f t="shared" ca="1" si="44"/>
        <v>1.5860231555424633</v>
      </c>
      <c r="EL71" s="25">
        <f t="shared" ca="1" si="44"/>
        <v>-63.431315698610817</v>
      </c>
      <c r="EM71" s="25">
        <f t="shared" ca="1" si="44"/>
        <v>-39.697533516517012</v>
      </c>
      <c r="EN71" s="25">
        <f t="shared" ca="1" si="44"/>
        <v>-4.4270930732365272</v>
      </c>
      <c r="EO71" s="25">
        <f t="shared" ca="1" si="44"/>
        <v>-21.325754770062055</v>
      </c>
      <c r="EP71" s="25">
        <f t="shared" ca="1" si="44"/>
        <v>-11.336996620071581</v>
      </c>
      <c r="EQ71" s="25">
        <f t="shared" ca="1" si="44"/>
        <v>8.8615722149418588</v>
      </c>
      <c r="ER71" s="25">
        <f t="shared" ca="1" si="44"/>
        <v>1.4011529940706833</v>
      </c>
      <c r="ES71" s="25">
        <f t="shared" ca="1" si="45"/>
        <v>2.5736806621277362</v>
      </c>
      <c r="ET71" s="25">
        <f t="shared" ca="1" si="45"/>
        <v>0.54979518173332553</v>
      </c>
      <c r="EU71" s="25">
        <f t="shared" ca="1" si="45"/>
        <v>0.32113064475548703</v>
      </c>
      <c r="EV71" s="25">
        <f t="shared" ca="1" si="45"/>
        <v>1.0706228196194227</v>
      </c>
      <c r="EW71" s="25">
        <f t="shared" ca="1" si="45"/>
        <v>1.1196659300252361</v>
      </c>
      <c r="EX71" s="25">
        <f t="shared" ca="1" si="45"/>
        <v>1.0717424855494477</v>
      </c>
      <c r="EY71" s="25">
        <f t="shared" ca="1" si="45"/>
        <v>0.61864810141472193</v>
      </c>
      <c r="EZ71" s="25">
        <f t="shared" ca="1" si="45"/>
        <v>0.61429142464419573</v>
      </c>
      <c r="FA71" s="25">
        <f t="shared" ca="1" si="45"/>
        <v>0.60993474787366941</v>
      </c>
      <c r="FB71" s="25">
        <f t="shared" ca="1" si="45"/>
        <v>1.1719460512715507</v>
      </c>
      <c r="FC71" s="25">
        <f t="shared" ca="1" si="45"/>
        <v>1.1109525764841837</v>
      </c>
      <c r="FD71" s="25">
        <f t="shared" ca="1" si="45"/>
        <v>1.1675893745010244</v>
      </c>
      <c r="FE71" s="25">
        <f t="shared" ca="1" si="45"/>
        <v>0.5431099775031949</v>
      </c>
      <c r="FF71" s="25">
        <f t="shared" ca="1" si="45"/>
        <v>0.79921870895367131</v>
      </c>
      <c r="FG71" s="25">
        <f t="shared" ca="1" si="45"/>
        <v>0.59634523345299817</v>
      </c>
      <c r="FH71" s="25">
        <f t="shared" ca="1" si="45"/>
        <v>1.0335160662274134</v>
      </c>
      <c r="FI71" s="25">
        <f t="shared" ca="1" si="46"/>
        <v>0.9779217080186372</v>
      </c>
      <c r="FJ71" s="25">
        <f t="shared" ca="1" si="46"/>
        <v>0.94833788298700972</v>
      </c>
      <c r="FK71" s="25">
        <f t="shared" ca="1" si="46"/>
        <v>0.60941815958932266</v>
      </c>
      <c r="FL71" s="25">
        <f t="shared" ca="1" si="46"/>
        <v>0.79335872693831377</v>
      </c>
      <c r="FM71" s="25">
        <f t="shared" ca="1" si="46"/>
        <v>0.77433071181342206</v>
      </c>
      <c r="FN71" s="25">
        <f t="shared" ca="1" si="46"/>
        <v>1.1655202686823387</v>
      </c>
      <c r="FO71" s="25" t="str">
        <f t="shared" si="49"/>
        <v>Winters' model5</v>
      </c>
    </row>
    <row r="72" spans="1:171">
      <c r="A72" s="145">
        <v>1</v>
      </c>
      <c r="B72" s="141">
        <v>1</v>
      </c>
      <c r="C72" s="141">
        <v>0.54564573680775341</v>
      </c>
      <c r="D72" s="141">
        <v>0.82863954737719747</v>
      </c>
      <c r="E72" s="141">
        <f ca="1">AVERAGE(INDIRECT(ADDRESS(ROW(H72),COLUMN(AD72)-CW72+1,1,1)):INDIRECT(ADDRESS(ROW(H72),COLUMN(AD72)-CW72+1+11,1,1)))</f>
        <v>633.81299999999999</v>
      </c>
      <c r="F72" s="131"/>
      <c r="G72" s="39" t="s">
        <v>45</v>
      </c>
      <c r="H72" s="40">
        <v>6</v>
      </c>
      <c r="I72" s="41"/>
      <c r="J72" s="41"/>
      <c r="K72" s="41"/>
      <c r="L72" s="41"/>
      <c r="M72" s="41"/>
      <c r="N72" s="41"/>
      <c r="O72" s="41">
        <v>266.03799999999995</v>
      </c>
      <c r="P72" s="41">
        <v>232.57400000000007</v>
      </c>
      <c r="Q72" s="41">
        <v>115.23299999999999</v>
      </c>
      <c r="R72" s="41">
        <v>203.98799999999997</v>
      </c>
      <c r="S72" s="41">
        <v>180.53700000000001</v>
      </c>
      <c r="T72" s="41">
        <v>869.18299999999977</v>
      </c>
      <c r="U72" s="41">
        <v>1078.4489999999998</v>
      </c>
      <c r="V72" s="41">
        <v>1258.0669999999996</v>
      </c>
      <c r="W72" s="41">
        <v>1027.184</v>
      </c>
      <c r="X72" s="41">
        <v>624.39099999999996</v>
      </c>
      <c r="Y72" s="41">
        <v>1201.8340000000001</v>
      </c>
      <c r="Z72" s="41">
        <v>548.27800000000002</v>
      </c>
      <c r="AA72" s="41">
        <v>1219.8130000000006</v>
      </c>
      <c r="AB72" s="41">
        <v>393.93799999999987</v>
      </c>
      <c r="AC72" s="41">
        <v>240.81100000000015</v>
      </c>
      <c r="AD72" s="41">
        <v>1097.4179999999999</v>
      </c>
      <c r="AE72" s="150"/>
      <c r="AF72" s="150" t="str">
        <f t="shared" si="31"/>
        <v/>
      </c>
      <c r="AG72" s="150" t="str">
        <f t="shared" si="31"/>
        <v/>
      </c>
      <c r="AH72" s="150" t="str">
        <f t="shared" si="31"/>
        <v/>
      </c>
      <c r="AI72" s="150" t="str">
        <f t="shared" si="31"/>
        <v/>
      </c>
      <c r="AJ72" s="150" t="str">
        <f t="shared" si="31"/>
        <v/>
      </c>
      <c r="AK72" s="150" t="str">
        <f t="shared" si="31"/>
        <v/>
      </c>
      <c r="AL72" s="150" t="str">
        <f t="shared" si="31"/>
        <v/>
      </c>
      <c r="AM72" s="150" t="str">
        <f t="shared" si="31"/>
        <v/>
      </c>
      <c r="AN72" s="150" t="str">
        <f t="shared" si="31"/>
        <v/>
      </c>
      <c r="AO72" s="150" t="str">
        <f t="shared" si="31"/>
        <v/>
      </c>
      <c r="AP72" s="150" t="str">
        <f t="shared" si="31"/>
        <v/>
      </c>
      <c r="AQ72" s="150" t="str">
        <f t="shared" si="31"/>
        <v/>
      </c>
      <c r="AR72" s="150" t="str">
        <f t="shared" si="31"/>
        <v/>
      </c>
      <c r="AS72" s="150" t="str">
        <f t="shared" si="31"/>
        <v/>
      </c>
      <c r="AT72" s="150" t="str">
        <f t="shared" si="31"/>
        <v/>
      </c>
      <c r="AU72" s="150" t="str">
        <f t="shared" si="31"/>
        <v/>
      </c>
      <c r="AV72" s="150" t="str">
        <f t="shared" si="32"/>
        <v/>
      </c>
      <c r="AW72" s="150" t="str">
        <f t="shared" si="32"/>
        <v/>
      </c>
      <c r="AX72" s="150">
        <f t="shared" si="32"/>
        <v>1587.5880000000006</v>
      </c>
      <c r="AY72" s="150">
        <f t="shared" ca="1" si="32"/>
        <v>1513.3145860070326</v>
      </c>
      <c r="AZ72" s="150">
        <f t="shared" ca="1" si="32"/>
        <v>1575.4888627982086</v>
      </c>
      <c r="BA72" s="148">
        <f t="shared" ca="1" si="42"/>
        <v>520.25132962839575</v>
      </c>
      <c r="BB72" s="157">
        <f t="shared" ca="1" si="42"/>
        <v>2848.8732073543697</v>
      </c>
      <c r="BC72" s="157">
        <f t="shared" ca="1" si="42"/>
        <v>3961.7920001457669</v>
      </c>
      <c r="BD72" s="45" t="str">
        <f t="shared" si="30"/>
        <v/>
      </c>
      <c r="BE72" s="45" t="str">
        <f t="shared" si="30"/>
        <v/>
      </c>
      <c r="BF72" s="45" t="str">
        <f t="shared" si="30"/>
        <v/>
      </c>
      <c r="BG72" s="45" t="str">
        <f t="shared" si="30"/>
        <v/>
      </c>
      <c r="BH72" s="45" t="str">
        <f t="shared" si="30"/>
        <v/>
      </c>
      <c r="BI72" s="45" t="str">
        <f t="shared" si="30"/>
        <v/>
      </c>
      <c r="BJ72" s="45" t="str">
        <f t="shared" si="30"/>
        <v/>
      </c>
      <c r="BK72" s="45" t="str">
        <f t="shared" si="30"/>
        <v/>
      </c>
      <c r="BL72" s="45" t="str">
        <f t="shared" si="30"/>
        <v/>
      </c>
      <c r="BM72" s="45" t="str">
        <f t="shared" si="30"/>
        <v/>
      </c>
      <c r="BN72" s="45" t="str">
        <f t="shared" si="30"/>
        <v/>
      </c>
      <c r="BO72" s="45" t="str">
        <f t="shared" si="30"/>
        <v/>
      </c>
      <c r="BP72" s="45" t="str">
        <f t="shared" si="30"/>
        <v/>
      </c>
      <c r="BQ72" s="45" t="str">
        <f t="shared" si="29"/>
        <v/>
      </c>
      <c r="BR72" s="45" t="str">
        <f t="shared" si="29"/>
        <v/>
      </c>
      <c r="BS72" s="45" t="str">
        <f t="shared" si="29"/>
        <v/>
      </c>
      <c r="BT72" s="45" t="str">
        <f t="shared" si="28"/>
        <v/>
      </c>
      <c r="BU72" s="45" t="str">
        <f t="shared" si="28"/>
        <v/>
      </c>
      <c r="BV72" s="45" t="str">
        <f t="shared" si="28"/>
        <v/>
      </c>
      <c r="BW72" s="45">
        <f t="shared" si="28"/>
        <v>1424800.3225000019</v>
      </c>
      <c r="BX72" s="45">
        <f t="shared" ca="1" si="28"/>
        <v>1619265.3764007571</v>
      </c>
      <c r="BY72" s="45">
        <f t="shared" ca="1" si="28"/>
        <v>228551.74985662373</v>
      </c>
      <c r="BZ72" s="92">
        <f t="shared" ca="1" si="47"/>
        <v>1044.4484108461882</v>
      </c>
      <c r="CA72" s="47">
        <f t="shared" ca="1" si="48"/>
        <v>0.95173253112869327</v>
      </c>
      <c r="CB72" s="42" t="str">
        <f t="shared" si="17"/>
        <v/>
      </c>
      <c r="CC72" s="42" t="str">
        <f t="shared" si="41"/>
        <v/>
      </c>
      <c r="CD72" s="42" t="str">
        <f t="shared" si="41"/>
        <v/>
      </c>
      <c r="CE72" s="42" t="str">
        <f t="shared" si="41"/>
        <v/>
      </c>
      <c r="CF72" s="42" t="str">
        <f t="shared" si="41"/>
        <v/>
      </c>
      <c r="CG72" s="42" t="str">
        <f t="shared" si="41"/>
        <v/>
      </c>
      <c r="CH72" s="42">
        <f t="shared" si="41"/>
        <v>1</v>
      </c>
      <c r="CI72" s="42">
        <f t="shared" si="41"/>
        <v>2</v>
      </c>
      <c r="CJ72" s="42">
        <f t="shared" si="41"/>
        <v>3</v>
      </c>
      <c r="CK72" s="42">
        <f t="shared" si="41"/>
        <v>4</v>
      </c>
      <c r="CL72" s="42">
        <f t="shared" si="41"/>
        <v>5</v>
      </c>
      <c r="CM72" s="42">
        <f t="shared" si="41"/>
        <v>6</v>
      </c>
      <c r="CN72" s="42">
        <f t="shared" si="41"/>
        <v>7</v>
      </c>
      <c r="CO72" s="42">
        <f t="shared" si="41"/>
        <v>8</v>
      </c>
      <c r="CP72" s="42">
        <f t="shared" si="41"/>
        <v>9</v>
      </c>
      <c r="CQ72" s="42">
        <f t="shared" si="41"/>
        <v>10</v>
      </c>
      <c r="CR72" s="42">
        <f t="shared" si="23"/>
        <v>11</v>
      </c>
      <c r="CS72" s="42">
        <f t="shared" si="23"/>
        <v>12</v>
      </c>
      <c r="CT72" s="42">
        <f t="shared" si="23"/>
        <v>13</v>
      </c>
      <c r="CU72" s="42">
        <f t="shared" si="23"/>
        <v>14</v>
      </c>
      <c r="CV72" s="42">
        <f t="shared" si="23"/>
        <v>15</v>
      </c>
      <c r="CW72" s="42">
        <f t="shared" si="23"/>
        <v>16</v>
      </c>
      <c r="CX72" s="42">
        <f t="shared" si="23"/>
        <v>17</v>
      </c>
      <c r="CY72" s="42">
        <f t="shared" si="23"/>
        <v>18</v>
      </c>
      <c r="CZ72" s="42">
        <f t="shared" si="40"/>
        <v>19</v>
      </c>
      <c r="DA72" s="104"/>
      <c r="DB72" s="105"/>
      <c r="DC72" s="105"/>
      <c r="DD72" s="105"/>
      <c r="DE72" s="105"/>
      <c r="DF72" s="105"/>
      <c r="DG72" s="105"/>
      <c r="DH72" s="105"/>
      <c r="DI72" s="105"/>
      <c r="DJ72" s="105"/>
      <c r="DK72" s="105"/>
      <c r="DL72" s="105"/>
      <c r="DM72" s="103" t="str">
        <f t="shared" si="43"/>
        <v/>
      </c>
      <c r="DN72" s="103" t="str">
        <f t="shared" si="43"/>
        <v/>
      </c>
      <c r="DO72" s="103" t="str">
        <f t="shared" si="43"/>
        <v/>
      </c>
      <c r="DP72" s="103" t="str">
        <f t="shared" si="43"/>
        <v/>
      </c>
      <c r="DQ72" s="103" t="str">
        <f t="shared" si="43"/>
        <v/>
      </c>
      <c r="DR72" s="103" t="str">
        <f t="shared" si="43"/>
        <v/>
      </c>
      <c r="DS72" s="103">
        <f t="shared" si="43"/>
        <v>633.81299999999999</v>
      </c>
      <c r="DT72" s="103">
        <f t="shared" ca="1" si="43"/>
        <v>1073.5637930035164</v>
      </c>
      <c r="DU72" s="103">
        <f t="shared" ca="1" si="43"/>
        <v>1324.5263279008625</v>
      </c>
      <c r="DV72" s="103">
        <f t="shared" ca="1" si="43"/>
        <v>3409.7976098299896</v>
      </c>
      <c r="EI72" s="25" t="str">
        <f t="shared" si="44"/>
        <v/>
      </c>
      <c r="EJ72" s="25" t="str">
        <f t="shared" si="44"/>
        <v/>
      </c>
      <c r="EK72" s="25" t="str">
        <f t="shared" si="44"/>
        <v/>
      </c>
      <c r="EL72" s="25" t="str">
        <f t="shared" si="44"/>
        <v/>
      </c>
      <c r="EM72" s="25" t="str">
        <f t="shared" si="44"/>
        <v/>
      </c>
      <c r="EN72" s="25" t="str">
        <f t="shared" si="44"/>
        <v/>
      </c>
      <c r="EO72" s="25">
        <f t="shared" si="44"/>
        <v>953.77500000000055</v>
      </c>
      <c r="EP72" s="25">
        <f t="shared" ca="1" si="44"/>
        <v>439.75079300351638</v>
      </c>
      <c r="EQ72" s="25">
        <f t="shared" ca="1" si="44"/>
        <v>250.96253489734613</v>
      </c>
      <c r="ER72" s="25">
        <f t="shared" ca="1" si="44"/>
        <v>2085.2712819291273</v>
      </c>
      <c r="ES72" s="25" t="str">
        <f t="shared" si="45"/>
        <v/>
      </c>
      <c r="ET72" s="25" t="str">
        <f t="shared" si="45"/>
        <v/>
      </c>
      <c r="EU72" s="25" t="str">
        <f t="shared" si="45"/>
        <v/>
      </c>
      <c r="EV72" s="25" t="str">
        <f t="shared" si="45"/>
        <v/>
      </c>
      <c r="EW72" s="25" t="str">
        <f t="shared" si="45"/>
        <v/>
      </c>
      <c r="EX72" s="25" t="str">
        <f t="shared" si="45"/>
        <v/>
      </c>
      <c r="EY72" s="25">
        <f t="shared" ca="1" si="45"/>
        <v>0.41974210058802824</v>
      </c>
      <c r="EZ72" s="25">
        <f t="shared" ca="1" si="45"/>
        <v>0.3669441933188497</v>
      </c>
      <c r="FA72" s="25">
        <f t="shared" ca="1" si="45"/>
        <v>0.18180914559972736</v>
      </c>
      <c r="FB72" s="25">
        <f t="shared" ca="1" si="45"/>
        <v>0.32184256239616416</v>
      </c>
      <c r="FC72" s="25">
        <f t="shared" ca="1" si="45"/>
        <v>0.2848426901941109</v>
      </c>
      <c r="FD72" s="25">
        <f t="shared" ca="1" si="45"/>
        <v>1.3713555891090903</v>
      </c>
      <c r="FE72" s="25">
        <f t="shared" ca="1" si="45"/>
        <v>1.7015255288231701</v>
      </c>
      <c r="FF72" s="25">
        <f t="shared" ca="1" si="45"/>
        <v>1.984918264535438</v>
      </c>
      <c r="FG72" s="25">
        <f t="shared" ca="1" si="45"/>
        <v>1.6206420505732764</v>
      </c>
      <c r="FH72" s="25">
        <f t="shared" ca="1" si="45"/>
        <v>0.98513441661815071</v>
      </c>
      <c r="FI72" s="25">
        <f t="shared" ca="1" si="46"/>
        <v>1.8961965122204816</v>
      </c>
      <c r="FJ72" s="25">
        <f t="shared" ca="1" si="46"/>
        <v>0.86504694602351173</v>
      </c>
      <c r="FK72" s="25">
        <f t="shared" ca="1" si="46"/>
        <v>1.1327353146166277</v>
      </c>
      <c r="FL72" s="25">
        <f t="shared" ca="1" si="46"/>
        <v>0.34645207503220427</v>
      </c>
      <c r="FM72" s="25">
        <f t="shared" ca="1" si="46"/>
        <v>0.22862287583799398</v>
      </c>
      <c r="FN72" s="25">
        <f t="shared" ca="1" si="46"/>
        <v>0.79869328035898035</v>
      </c>
      <c r="FO72" s="25" t="str">
        <f t="shared" si="49"/>
        <v>Winters' model6</v>
      </c>
    </row>
    <row r="73" spans="1:171">
      <c r="A73" s="145">
        <v>0.72886870919141145</v>
      </c>
      <c r="B73" s="141">
        <v>0.12462106989589053</v>
      </c>
      <c r="C73" s="141">
        <v>0.63360725464103695</v>
      </c>
      <c r="D73" s="141"/>
      <c r="E73" s="141">
        <f ca="1">AVERAGE(INDIRECT(ADDRESS(ROW(H73),COLUMN(AD73)-CW73+1,1,1)):INDIRECT(ADDRESS(ROW(H73),COLUMN(AD73)-CW73+1+11,1,1)))</f>
        <v>162.04850000000002</v>
      </c>
      <c r="F73" s="124"/>
      <c r="G73" s="39" t="s">
        <v>45</v>
      </c>
      <c r="H73" s="40">
        <v>7</v>
      </c>
      <c r="I73" s="41">
        <v>198</v>
      </c>
      <c r="J73" s="41">
        <v>186</v>
      </c>
      <c r="K73" s="41">
        <v>177.429</v>
      </c>
      <c r="L73" s="41">
        <v>157</v>
      </c>
      <c r="M73" s="41">
        <v>126.622</v>
      </c>
      <c r="N73" s="41">
        <v>177.429</v>
      </c>
      <c r="O73" s="41">
        <v>157</v>
      </c>
      <c r="P73" s="41">
        <v>126.622</v>
      </c>
      <c r="Q73" s="41">
        <v>177.429</v>
      </c>
      <c r="R73" s="41">
        <v>157</v>
      </c>
      <c r="S73" s="41">
        <v>126.622</v>
      </c>
      <c r="T73" s="41">
        <v>177.429</v>
      </c>
      <c r="U73" s="41">
        <v>157</v>
      </c>
      <c r="V73" s="41">
        <v>126.622</v>
      </c>
      <c r="W73" s="41">
        <v>128.38799999999998</v>
      </c>
      <c r="X73" s="41">
        <v>203.08599999999998</v>
      </c>
      <c r="Y73" s="41">
        <v>177.429</v>
      </c>
      <c r="Z73" s="41">
        <v>157</v>
      </c>
      <c r="AA73" s="41">
        <v>126.622</v>
      </c>
      <c r="AB73" s="41">
        <v>165</v>
      </c>
      <c r="AC73" s="41">
        <v>121.236</v>
      </c>
      <c r="AD73" s="41">
        <v>127.90299999999999</v>
      </c>
      <c r="AE73" s="150"/>
      <c r="AF73" s="150" t="str">
        <f t="shared" si="31"/>
        <v/>
      </c>
      <c r="AG73" s="150" t="str">
        <f t="shared" si="31"/>
        <v/>
      </c>
      <c r="AH73" s="150" t="str">
        <f t="shared" si="31"/>
        <v/>
      </c>
      <c r="AI73" s="150" t="str">
        <f t="shared" si="31"/>
        <v/>
      </c>
      <c r="AJ73" s="150" t="str">
        <f t="shared" si="31"/>
        <v/>
      </c>
      <c r="AK73" s="150" t="str">
        <f t="shared" si="31"/>
        <v/>
      </c>
      <c r="AL73" s="150" t="str">
        <f t="shared" si="31"/>
        <v/>
      </c>
      <c r="AM73" s="150" t="str">
        <f t="shared" si="31"/>
        <v/>
      </c>
      <c r="AN73" s="150" t="str">
        <f t="shared" si="31"/>
        <v/>
      </c>
      <c r="AO73" s="150" t="str">
        <f t="shared" si="31"/>
        <v/>
      </c>
      <c r="AP73" s="150" t="str">
        <f t="shared" si="31"/>
        <v/>
      </c>
      <c r="AQ73" s="150" t="str">
        <f t="shared" si="31"/>
        <v/>
      </c>
      <c r="AR73" s="150">
        <f t="shared" si="31"/>
        <v>121.04850000000002</v>
      </c>
      <c r="AS73" s="150">
        <f t="shared" ca="1" si="31"/>
        <v>71.251627101628102</v>
      </c>
      <c r="AT73" s="150">
        <f t="shared" ca="1" si="31"/>
        <v>66.988828958431696</v>
      </c>
      <c r="AU73" s="150">
        <f t="shared" ref="AU73:AU75" ca="1" si="50">IF(DP73="","",DP73+EL73)</f>
        <v>146.1049742524917</v>
      </c>
      <c r="AV73" s="150">
        <f t="shared" ca="1" si="32"/>
        <v>187.63173159987591</v>
      </c>
      <c r="AW73" s="150">
        <f t="shared" ca="1" si="32"/>
        <v>133.8806795747507</v>
      </c>
      <c r="AX73" s="150">
        <f t="shared" ca="1" si="32"/>
        <v>109.76335239721888</v>
      </c>
      <c r="AY73" s="150">
        <f t="shared" ca="1" si="32"/>
        <v>171.0871290129673</v>
      </c>
      <c r="AZ73" s="150">
        <f t="shared" ca="1" si="32"/>
        <v>109.02559512047671</v>
      </c>
      <c r="BA73" s="148">
        <f t="shared" ca="1" si="42"/>
        <v>71.073812100584803</v>
      </c>
      <c r="BB73" s="157">
        <f t="shared" ca="1" si="42"/>
        <v>79.810736223044898</v>
      </c>
      <c r="BC73" s="157">
        <f t="shared" ca="1" si="42"/>
        <v>55.650021691541149</v>
      </c>
      <c r="BD73" s="45" t="str">
        <f t="shared" si="30"/>
        <v/>
      </c>
      <c r="BE73" s="45" t="str">
        <f t="shared" si="30"/>
        <v/>
      </c>
      <c r="BF73" s="45" t="str">
        <f t="shared" si="30"/>
        <v/>
      </c>
      <c r="BG73" s="45" t="str">
        <f t="shared" si="30"/>
        <v/>
      </c>
      <c r="BH73" s="45" t="str">
        <f t="shared" si="30"/>
        <v/>
      </c>
      <c r="BI73" s="45" t="str">
        <f t="shared" si="30"/>
        <v/>
      </c>
      <c r="BJ73" s="45" t="str">
        <f t="shared" si="30"/>
        <v/>
      </c>
      <c r="BK73" s="45" t="str">
        <f t="shared" si="30"/>
        <v/>
      </c>
      <c r="BL73" s="45" t="str">
        <f t="shared" ref="BL73:BP84" si="51">IF(AM73="","",(AM73-Q73)^2)</f>
        <v/>
      </c>
      <c r="BM73" s="45" t="str">
        <f t="shared" si="51"/>
        <v/>
      </c>
      <c r="BN73" s="45" t="str">
        <f t="shared" si="51"/>
        <v/>
      </c>
      <c r="BO73" s="45" t="str">
        <f t="shared" si="51"/>
        <v/>
      </c>
      <c r="BP73" s="45" t="str">
        <f t="shared" si="51"/>
        <v/>
      </c>
      <c r="BQ73" s="45">
        <f t="shared" si="29"/>
        <v>31.063902249999792</v>
      </c>
      <c r="BR73" s="45">
        <f t="shared" ca="1" si="29"/>
        <v>3264.565107981804</v>
      </c>
      <c r="BS73" s="45">
        <f t="shared" ca="1" si="29"/>
        <v>18522.439965517893</v>
      </c>
      <c r="BT73" s="45">
        <f t="shared" ca="1" si="28"/>
        <v>981.19458903056295</v>
      </c>
      <c r="BU73" s="45">
        <f t="shared" ca="1" si="28"/>
        <v>938.3029808068361</v>
      </c>
      <c r="BV73" s="45">
        <f t="shared" ca="1" si="28"/>
        <v>52.688429168903021</v>
      </c>
      <c r="BW73" s="45">
        <f t="shared" ca="1" si="28"/>
        <v>3051.0872383938249</v>
      </c>
      <c r="BX73" s="45">
        <f t="shared" ca="1" si="28"/>
        <v>2485.1350638675094</v>
      </c>
      <c r="BY73" s="45">
        <f t="shared" ca="1" si="28"/>
        <v>356.35641498544948</v>
      </c>
      <c r="BZ73" s="92">
        <f t="shared" ca="1" si="47"/>
        <v>57.429022562157137</v>
      </c>
      <c r="CA73" s="47">
        <f t="shared" ca="1" si="48"/>
        <v>0.44900449998950093</v>
      </c>
      <c r="CB73" s="42">
        <f t="shared" si="17"/>
        <v>1</v>
      </c>
      <c r="CC73" s="42">
        <f t="shared" si="41"/>
        <v>2</v>
      </c>
      <c r="CD73" s="42">
        <f t="shared" si="41"/>
        <v>3</v>
      </c>
      <c r="CE73" s="42">
        <f t="shared" si="41"/>
        <v>4</v>
      </c>
      <c r="CF73" s="42">
        <f t="shared" si="41"/>
        <v>5</v>
      </c>
      <c r="CG73" s="42">
        <f t="shared" si="41"/>
        <v>6</v>
      </c>
      <c r="CH73" s="42">
        <f t="shared" si="41"/>
        <v>7</v>
      </c>
      <c r="CI73" s="42">
        <f t="shared" si="41"/>
        <v>8</v>
      </c>
      <c r="CJ73" s="42">
        <f t="shared" si="41"/>
        <v>9</v>
      </c>
      <c r="CK73" s="42">
        <f t="shared" si="41"/>
        <v>10</v>
      </c>
      <c r="CL73" s="42">
        <f t="shared" si="41"/>
        <v>11</v>
      </c>
      <c r="CM73" s="42">
        <f t="shared" si="41"/>
        <v>12</v>
      </c>
      <c r="CN73" s="42">
        <f t="shared" si="41"/>
        <v>13</v>
      </c>
      <c r="CO73" s="42">
        <f t="shared" si="41"/>
        <v>14</v>
      </c>
      <c r="CP73" s="42">
        <f t="shared" si="41"/>
        <v>15</v>
      </c>
      <c r="CQ73" s="42">
        <f t="shared" si="41"/>
        <v>16</v>
      </c>
      <c r="CR73" s="42">
        <f t="shared" si="23"/>
        <v>17</v>
      </c>
      <c r="CS73" s="42">
        <f t="shared" si="23"/>
        <v>18</v>
      </c>
      <c r="CT73" s="42">
        <f t="shared" si="23"/>
        <v>19</v>
      </c>
      <c r="CU73" s="42">
        <f t="shared" si="23"/>
        <v>20</v>
      </c>
      <c r="CV73" s="42">
        <f t="shared" si="23"/>
        <v>21</v>
      </c>
      <c r="CW73" s="42">
        <f t="shared" si="23"/>
        <v>22</v>
      </c>
      <c r="CX73" s="42">
        <f t="shared" si="23"/>
        <v>23</v>
      </c>
      <c r="CY73" s="42">
        <f t="shared" si="23"/>
        <v>24</v>
      </c>
      <c r="CZ73" s="42">
        <f t="shared" si="40"/>
        <v>25</v>
      </c>
      <c r="DA73" s="104"/>
      <c r="DB73" s="105"/>
      <c r="DC73" s="105"/>
      <c r="DD73" s="105"/>
      <c r="DE73" s="105"/>
      <c r="DF73" s="105"/>
      <c r="DG73" s="105"/>
      <c r="DH73" s="105"/>
      <c r="DI73" s="105"/>
      <c r="DJ73" s="105"/>
      <c r="DK73" s="105"/>
      <c r="DL73" s="105"/>
      <c r="DM73" s="103">
        <f t="shared" si="43"/>
        <v>162.04850000000002</v>
      </c>
      <c r="DN73" s="103">
        <f t="shared" ca="1" si="43"/>
        <v>113.22642273873524</v>
      </c>
      <c r="DO73" s="103">
        <f t="shared" ca="1" si="43"/>
        <v>104.78469748719525</v>
      </c>
      <c r="DP73" s="103">
        <f t="shared" ca="1" si="43"/>
        <v>170.94563445705751</v>
      </c>
      <c r="DQ73" s="103">
        <f t="shared" ca="1" si="43"/>
        <v>205.11811150244012</v>
      </c>
      <c r="DR73" s="103">
        <f t="shared" ca="1" si="43"/>
        <v>155.38560613299475</v>
      </c>
      <c r="DS73" s="103">
        <f t="shared" ca="1" si="43"/>
        <v>131.5577632705687</v>
      </c>
      <c r="DT73" s="103">
        <f t="shared" ca="1" si="43"/>
        <v>183.67107982117042</v>
      </c>
      <c r="DU73" s="103">
        <f t="shared" ca="1" si="43"/>
        <v>127.09223650320155</v>
      </c>
      <c r="DV73" s="103">
        <f t="shared" ca="1" si="43"/>
        <v>125.78247644370975</v>
      </c>
      <c r="EI73" s="25">
        <f t="shared" si="44"/>
        <v>-41</v>
      </c>
      <c r="EJ73" s="25">
        <f t="shared" ca="1" si="44"/>
        <v>-41.974795637107135</v>
      </c>
      <c r="EK73" s="25">
        <f t="shared" ca="1" si="44"/>
        <v>-37.795868528763556</v>
      </c>
      <c r="EL73" s="25">
        <f t="shared" ca="1" si="44"/>
        <v>-24.840660204565808</v>
      </c>
      <c r="EM73" s="25">
        <f t="shared" ca="1" si="44"/>
        <v>-17.486379902564206</v>
      </c>
      <c r="EN73" s="25">
        <f t="shared" ca="1" si="44"/>
        <v>-21.504926558244058</v>
      </c>
      <c r="EO73" s="25">
        <f t="shared" ca="1" si="44"/>
        <v>-21.794410873349825</v>
      </c>
      <c r="EP73" s="25">
        <f t="shared" ca="1" si="44"/>
        <v>-12.583950808203134</v>
      </c>
      <c r="EQ73" s="25">
        <f t="shared" ca="1" si="44"/>
        <v>-18.066641382724839</v>
      </c>
      <c r="ER73" s="25">
        <f t="shared" ca="1" si="44"/>
        <v>-15.978380904105071</v>
      </c>
      <c r="ES73" s="25">
        <f t="shared" ca="1" si="45"/>
        <v>1.2218564195287211</v>
      </c>
      <c r="ET73" s="25">
        <f t="shared" ca="1" si="45"/>
        <v>1.1478045153148593</v>
      </c>
      <c r="EU73" s="25">
        <f t="shared" ca="1" si="45"/>
        <v>1.0949129427301085</v>
      </c>
      <c r="EV73" s="25">
        <f t="shared" ca="1" si="45"/>
        <v>0.96884574679802637</v>
      </c>
      <c r="EW73" s="25">
        <f t="shared" ca="1" si="45"/>
        <v>0.78138335128063507</v>
      </c>
      <c r="EX73" s="25">
        <f t="shared" ca="1" si="45"/>
        <v>1.0949129427301085</v>
      </c>
      <c r="EY73" s="25">
        <f t="shared" ca="1" si="45"/>
        <v>0.96884574679802637</v>
      </c>
      <c r="EZ73" s="25">
        <f t="shared" ca="1" si="45"/>
        <v>0.78138335128063507</v>
      </c>
      <c r="FA73" s="25">
        <f t="shared" ca="1" si="45"/>
        <v>1.0949129427301085</v>
      </c>
      <c r="FB73" s="25">
        <f t="shared" ca="1" si="45"/>
        <v>0.96884574679802637</v>
      </c>
      <c r="FC73" s="25">
        <f t="shared" ca="1" si="45"/>
        <v>0.78138335128063507</v>
      </c>
      <c r="FD73" s="25">
        <f t="shared" ca="1" si="45"/>
        <v>1.0949129427301085</v>
      </c>
      <c r="FE73" s="25">
        <f t="shared" ca="1" si="45"/>
        <v>1.0150358528152883</v>
      </c>
      <c r="FF73" s="25">
        <f t="shared" ca="1" si="45"/>
        <v>1.0635460343636098</v>
      </c>
      <c r="FG73" s="25">
        <f t="shared" ca="1" si="45"/>
        <v>1.0626238021119609</v>
      </c>
      <c r="FH73" s="25">
        <f t="shared" ca="1" si="45"/>
        <v>1.153903163479332</v>
      </c>
      <c r="FI73" s="25">
        <f t="shared" ca="1" si="46"/>
        <v>0.90305399207716519</v>
      </c>
      <c r="FJ73" s="25">
        <f t="shared" ca="1" si="46"/>
        <v>0.92648337008834458</v>
      </c>
      <c r="FK73" s="25">
        <f t="shared" ca="1" si="46"/>
        <v>1.011003837296329</v>
      </c>
      <c r="FL73" s="25">
        <f t="shared" ca="1" si="46"/>
        <v>0.92417597527126205</v>
      </c>
      <c r="FM73" s="25">
        <f t="shared" ca="1" si="46"/>
        <v>0.89070468984039897</v>
      </c>
      <c r="FN73" s="25">
        <f t="shared" ca="1" si="46"/>
        <v>1.0454571806796249</v>
      </c>
      <c r="FO73" s="25" t="str">
        <f t="shared" si="49"/>
        <v>Winters' model7</v>
      </c>
    </row>
    <row r="74" spans="1:171">
      <c r="A74" s="145">
        <v>0.91036563486551814</v>
      </c>
      <c r="B74" s="141">
        <v>0</v>
      </c>
      <c r="C74" s="141">
        <v>0.40107283222135887</v>
      </c>
      <c r="D74" s="141"/>
      <c r="E74" s="141">
        <f ca="1">AVERAGE(INDIRECT(ADDRESS(ROW(H74),COLUMN(AD74)-CW74+1,1,1)):INDIRECT(ADDRESS(ROW(H74),COLUMN(AD74)-CW74+1+11,1,1)))</f>
        <v>94.924916666666661</v>
      </c>
      <c r="F74" s="131"/>
      <c r="G74" s="39" t="s">
        <v>45</v>
      </c>
      <c r="H74" s="40">
        <v>8</v>
      </c>
      <c r="I74" s="41">
        <v>6.597999999999999</v>
      </c>
      <c r="J74" s="41">
        <v>14.509</v>
      </c>
      <c r="K74" s="41">
        <v>34</v>
      </c>
      <c r="L74" s="41">
        <v>36.616999999999976</v>
      </c>
      <c r="M74" s="41">
        <v>48.298000000000044</v>
      </c>
      <c r="N74" s="41">
        <v>50.913000000000054</v>
      </c>
      <c r="O74" s="41">
        <v>169.95999999999992</v>
      </c>
      <c r="P74" s="41">
        <v>158.32199999999997</v>
      </c>
      <c r="Q74" s="41">
        <v>169.77099999999999</v>
      </c>
      <c r="R74" s="41">
        <v>180</v>
      </c>
      <c r="S74" s="41">
        <v>127</v>
      </c>
      <c r="T74" s="41">
        <v>143.11099999999993</v>
      </c>
      <c r="U74" s="41">
        <v>167</v>
      </c>
      <c r="V74" s="41">
        <v>150</v>
      </c>
      <c r="W74" s="41">
        <v>199.79</v>
      </c>
      <c r="X74" s="41">
        <v>203.78579999999999</v>
      </c>
      <c r="Y74" s="41">
        <v>216.01294799999999</v>
      </c>
      <c r="Z74" s="41">
        <v>233.29398384000001</v>
      </c>
      <c r="AA74" s="41">
        <v>235.6269236784</v>
      </c>
      <c r="AB74" s="41">
        <v>245.05200062553601</v>
      </c>
      <c r="AC74" s="41">
        <v>259.75512066306817</v>
      </c>
      <c r="AD74" s="41">
        <v>283.13308152274431</v>
      </c>
      <c r="AE74" s="150"/>
      <c r="AF74" s="150" t="str">
        <f t="shared" ref="AF74:AT75" si="52">IF(DA74="","",DA74+DW74)</f>
        <v/>
      </c>
      <c r="AG74" s="150" t="str">
        <f t="shared" si="52"/>
        <v/>
      </c>
      <c r="AH74" s="150" t="str">
        <f t="shared" si="52"/>
        <v/>
      </c>
      <c r="AI74" s="150" t="str">
        <f t="shared" si="52"/>
        <v/>
      </c>
      <c r="AJ74" s="150" t="str">
        <f t="shared" si="52"/>
        <v/>
      </c>
      <c r="AK74" s="150" t="str">
        <f t="shared" si="52"/>
        <v/>
      </c>
      <c r="AL74" s="150" t="str">
        <f t="shared" si="52"/>
        <v/>
      </c>
      <c r="AM74" s="150" t="str">
        <f t="shared" si="52"/>
        <v/>
      </c>
      <c r="AN74" s="150" t="str">
        <f t="shared" si="52"/>
        <v/>
      </c>
      <c r="AO74" s="150" t="str">
        <f t="shared" si="52"/>
        <v/>
      </c>
      <c r="AP74" s="150" t="str">
        <f t="shared" si="52"/>
        <v/>
      </c>
      <c r="AQ74" s="150" t="str">
        <f t="shared" si="52"/>
        <v/>
      </c>
      <c r="AR74" s="150">
        <f t="shared" si="52"/>
        <v>255.32691666666665</v>
      </c>
      <c r="AS74" s="150">
        <f t="shared" ca="1" si="52"/>
        <v>1076.6961096274379</v>
      </c>
      <c r="AT74" s="150">
        <f t="shared" ca="1" si="52"/>
        <v>764.70888296262956</v>
      </c>
      <c r="AU74" s="150">
        <f t="shared" ca="1" si="50"/>
        <v>709.88214149793271</v>
      </c>
      <c r="AV74" s="150">
        <f t="shared" ca="1" si="32"/>
        <v>610.52935954423083</v>
      </c>
      <c r="AW74" s="150">
        <f t="shared" ca="1" si="32"/>
        <v>611.10429600514613</v>
      </c>
      <c r="AX74" s="150">
        <f t="shared" ca="1" si="32"/>
        <v>334.98275998416034</v>
      </c>
      <c r="AY74" s="150">
        <f t="shared" ca="1" si="32"/>
        <v>324.18390304019363</v>
      </c>
      <c r="AZ74" s="150">
        <f t="shared" ca="1" si="32"/>
        <v>321.67987767799377</v>
      </c>
      <c r="BA74" s="148">
        <f t="shared" ca="1" si="42"/>
        <v>644.97711048931001</v>
      </c>
      <c r="BB74" s="157">
        <f t="shared" ca="1" si="42"/>
        <v>968.6235547748737</v>
      </c>
      <c r="BC74" s="157">
        <f t="shared" ca="1" si="42"/>
        <v>738.75450325066492</v>
      </c>
      <c r="BD74" s="45" t="str">
        <f t="shared" ref="BD74:BK84" si="53">IF(AE74="","",(AE74-I74)^2)</f>
        <v/>
      </c>
      <c r="BE74" s="45" t="str">
        <f t="shared" si="53"/>
        <v/>
      </c>
      <c r="BF74" s="45" t="str">
        <f t="shared" si="53"/>
        <v/>
      </c>
      <c r="BG74" s="45" t="str">
        <f t="shared" si="53"/>
        <v/>
      </c>
      <c r="BH74" s="45" t="str">
        <f t="shared" si="53"/>
        <v/>
      </c>
      <c r="BI74" s="45" t="str">
        <f t="shared" si="53"/>
        <v/>
      </c>
      <c r="BJ74" s="45" t="str">
        <f t="shared" si="53"/>
        <v/>
      </c>
      <c r="BK74" s="45" t="str">
        <f t="shared" si="53"/>
        <v/>
      </c>
      <c r="BL74" s="45" t="str">
        <f t="shared" si="51"/>
        <v/>
      </c>
      <c r="BM74" s="45" t="str">
        <f t="shared" si="51"/>
        <v/>
      </c>
      <c r="BN74" s="45" t="str">
        <f t="shared" si="51"/>
        <v/>
      </c>
      <c r="BO74" s="45" t="str">
        <f t="shared" si="51"/>
        <v/>
      </c>
      <c r="BP74" s="45" t="str">
        <f t="shared" si="51"/>
        <v/>
      </c>
      <c r="BQ74" s="45">
        <f t="shared" si="29"/>
        <v>11093.759374506941</v>
      </c>
      <c r="BR74" s="45">
        <f t="shared" ca="1" si="29"/>
        <v>768964.32510192809</v>
      </c>
      <c r="BS74" s="45">
        <f t="shared" ca="1" si="29"/>
        <v>314634.70500030101</v>
      </c>
      <c r="BT74" s="45">
        <f t="shared" ca="1" si="28"/>
        <v>243906.78028629851</v>
      </c>
      <c r="BU74" s="45">
        <f t="shared" ca="1" si="28"/>
        <v>142306.52868271217</v>
      </c>
      <c r="BV74" s="45">
        <f t="shared" ca="1" si="28"/>
        <v>140983.25712939794</v>
      </c>
      <c r="BW74" s="45">
        <f t="shared" ca="1" si="28"/>
        <v>8087.5414788187973</v>
      </c>
      <c r="BX74" s="45">
        <f t="shared" ca="1" si="28"/>
        <v>4151.0679985989918</v>
      </c>
      <c r="BY74" s="45">
        <f t="shared" ca="1" si="28"/>
        <v>1485.855493834355</v>
      </c>
      <c r="BZ74" s="92">
        <f t="shared" ca="1" si="47"/>
        <v>426.30372851946726</v>
      </c>
      <c r="CA74" s="47">
        <f t="shared" ca="1" si="48"/>
        <v>1.5056655556698766</v>
      </c>
      <c r="CB74" s="42">
        <f t="shared" si="17"/>
        <v>1</v>
      </c>
      <c r="CC74" s="42">
        <f t="shared" si="41"/>
        <v>2</v>
      </c>
      <c r="CD74" s="42">
        <f t="shared" si="41"/>
        <v>3</v>
      </c>
      <c r="CE74" s="42">
        <f t="shared" si="41"/>
        <v>4</v>
      </c>
      <c r="CF74" s="42">
        <f t="shared" si="41"/>
        <v>5</v>
      </c>
      <c r="CG74" s="42">
        <f t="shared" si="41"/>
        <v>6</v>
      </c>
      <c r="CH74" s="42">
        <f t="shared" si="41"/>
        <v>7</v>
      </c>
      <c r="CI74" s="42">
        <f t="shared" si="41"/>
        <v>8</v>
      </c>
      <c r="CJ74" s="42">
        <f t="shared" si="41"/>
        <v>9</v>
      </c>
      <c r="CK74" s="42">
        <f t="shared" si="41"/>
        <v>10</v>
      </c>
      <c r="CL74" s="42">
        <f t="shared" si="41"/>
        <v>11</v>
      </c>
      <c r="CM74" s="42">
        <f t="shared" si="41"/>
        <v>12</v>
      </c>
      <c r="CN74" s="42">
        <f t="shared" si="41"/>
        <v>13</v>
      </c>
      <c r="CO74" s="42">
        <f t="shared" si="41"/>
        <v>14</v>
      </c>
      <c r="CP74" s="42">
        <f t="shared" si="41"/>
        <v>15</v>
      </c>
      <c r="CQ74" s="42">
        <f t="shared" si="41"/>
        <v>16</v>
      </c>
      <c r="CR74" s="42">
        <f t="shared" si="23"/>
        <v>17</v>
      </c>
      <c r="CS74" s="42">
        <f t="shared" si="23"/>
        <v>18</v>
      </c>
      <c r="CT74" s="42">
        <f t="shared" si="23"/>
        <v>19</v>
      </c>
      <c r="CU74" s="42">
        <f t="shared" si="23"/>
        <v>20</v>
      </c>
      <c r="CV74" s="42">
        <f t="shared" si="23"/>
        <v>21</v>
      </c>
      <c r="CW74" s="42">
        <f t="shared" si="23"/>
        <v>22</v>
      </c>
      <c r="CX74" s="42">
        <f t="shared" si="23"/>
        <v>23</v>
      </c>
      <c r="CY74" s="42">
        <f t="shared" si="23"/>
        <v>24</v>
      </c>
      <c r="CZ74" s="42">
        <f t="shared" si="40"/>
        <v>25</v>
      </c>
      <c r="DA74" s="104"/>
      <c r="DB74" s="105"/>
      <c r="DC74" s="105"/>
      <c r="DD74" s="105"/>
      <c r="DE74" s="105"/>
      <c r="DF74" s="105"/>
      <c r="DG74" s="105"/>
      <c r="DH74" s="105"/>
      <c r="DI74" s="105"/>
      <c r="DJ74" s="105"/>
      <c r="DK74" s="105"/>
      <c r="DL74" s="105"/>
      <c r="DM74" s="103">
        <f t="shared" si="43"/>
        <v>94.924916666666661</v>
      </c>
      <c r="DN74" s="103">
        <f t="shared" ca="1" si="43"/>
        <v>916.29410962743782</v>
      </c>
      <c r="DO74" s="103">
        <f t="shared" ca="1" si="43"/>
        <v>604.30688296262952</v>
      </c>
      <c r="DP74" s="103">
        <f t="shared" ca="1" si="43"/>
        <v>549.48014149793266</v>
      </c>
      <c r="DQ74" s="103">
        <f t="shared" ca="1" si="43"/>
        <v>450.1273595442309</v>
      </c>
      <c r="DR74" s="103">
        <f t="shared" ca="1" si="43"/>
        <v>450.7022960051462</v>
      </c>
      <c r="DS74" s="103">
        <f t="shared" ca="1" si="43"/>
        <v>174.58075998416035</v>
      </c>
      <c r="DT74" s="103">
        <f t="shared" ca="1" si="43"/>
        <v>163.78190304019364</v>
      </c>
      <c r="DU74" s="103">
        <f t="shared" ca="1" si="43"/>
        <v>161.27787767799379</v>
      </c>
      <c r="DV74" s="103">
        <f t="shared" ca="1" si="43"/>
        <v>164.76321904005619</v>
      </c>
      <c r="EI74" s="25">
        <f t="shared" si="44"/>
        <v>160.40199999999999</v>
      </c>
      <c r="EJ74" s="25">
        <f t="shared" ca="1" si="44"/>
        <v>160.40199999999999</v>
      </c>
      <c r="EK74" s="25">
        <f t="shared" ca="1" si="44"/>
        <v>160.40199999999999</v>
      </c>
      <c r="EL74" s="25">
        <f t="shared" ca="1" si="44"/>
        <v>160.40199999999999</v>
      </c>
      <c r="EM74" s="25">
        <f t="shared" ca="1" si="44"/>
        <v>160.40199999999999</v>
      </c>
      <c r="EN74" s="25">
        <f t="shared" ca="1" si="44"/>
        <v>160.40199999999999</v>
      </c>
      <c r="EO74" s="25">
        <f t="shared" ca="1" si="44"/>
        <v>160.40199999999999</v>
      </c>
      <c r="EP74" s="25">
        <f t="shared" ca="1" si="44"/>
        <v>160.40199999999999</v>
      </c>
      <c r="EQ74" s="25">
        <f t="shared" ca="1" si="44"/>
        <v>160.40199999999999</v>
      </c>
      <c r="ER74" s="25">
        <f t="shared" ca="1" si="44"/>
        <v>160.40199999999999</v>
      </c>
      <c r="ES74" s="25">
        <f t="shared" ca="1" si="45"/>
        <v>6.9507566945454249E-2</v>
      </c>
      <c r="ET74" s="25">
        <f t="shared" ca="1" si="45"/>
        <v>0.15284711864377021</v>
      </c>
      <c r="EU74" s="25">
        <f t="shared" ca="1" si="45"/>
        <v>0.35817782299870338</v>
      </c>
      <c r="EV74" s="25">
        <f t="shared" ca="1" si="45"/>
        <v>0.38574698072775038</v>
      </c>
      <c r="EW74" s="25">
        <f t="shared" ca="1" si="45"/>
        <v>0.50880213221151149</v>
      </c>
      <c r="EX74" s="25">
        <f t="shared" ca="1" si="45"/>
        <v>0.53635022065685312</v>
      </c>
      <c r="EY74" s="25">
        <f t="shared" ca="1" si="45"/>
        <v>1.7904677293194</v>
      </c>
      <c r="EZ74" s="25">
        <f t="shared" ca="1" si="45"/>
        <v>1.6678655674353149</v>
      </c>
      <c r="FA74" s="25">
        <f t="shared" ca="1" si="45"/>
        <v>1.788476682009202</v>
      </c>
      <c r="FB74" s="25">
        <f t="shared" ca="1" si="45"/>
        <v>1.8962355335225474</v>
      </c>
      <c r="FC74" s="25">
        <f t="shared" ca="1" si="45"/>
        <v>1.3378995153186861</v>
      </c>
      <c r="FD74" s="25">
        <f t="shared" ca="1" si="45"/>
        <v>1.5076231302108063</v>
      </c>
      <c r="FE74" s="25">
        <f t="shared" ca="1" si="45"/>
        <v>0.92012392270144105</v>
      </c>
      <c r="FF74" s="25">
        <f t="shared" ca="1" si="45"/>
        <v>0.29669113107961642</v>
      </c>
      <c r="FG74" s="25">
        <f t="shared" ca="1" si="45"/>
        <v>0.4373341763798565</v>
      </c>
      <c r="FH74" s="25">
        <f t="shared" ca="1" si="45"/>
        <v>0.46998067281626776</v>
      </c>
      <c r="FI74" s="25">
        <f t="shared" ca="1" si="46"/>
        <v>1.2648317921232923</v>
      </c>
      <c r="FJ74" s="25">
        <f t="shared" ca="1" si="46"/>
        <v>1.2065346204144931</v>
      </c>
      <c r="FK74" s="25">
        <f t="shared" ca="1" si="46"/>
        <v>1.6124844134138581</v>
      </c>
      <c r="FL74" s="25">
        <f t="shared" ca="1" si="46"/>
        <v>1.7357958646942286</v>
      </c>
      <c r="FM74" s="25">
        <f t="shared" ca="1" si="46"/>
        <v>1.4472746854718133</v>
      </c>
      <c r="FN74" s="25">
        <f t="shared" ca="1" si="46"/>
        <v>1.5921696603462141</v>
      </c>
      <c r="FO74" s="25" t="str">
        <f t="shared" si="49"/>
        <v>Winters' model8</v>
      </c>
    </row>
    <row r="75" spans="1:171" ht="13.5" thickBot="1">
      <c r="A75" s="132">
        <v>1</v>
      </c>
      <c r="B75" s="133">
        <v>1</v>
      </c>
      <c r="C75" s="133">
        <v>0.8190171723977091</v>
      </c>
      <c r="D75" s="133"/>
      <c r="E75" s="133">
        <f ca="1">AVERAGE(INDIRECT(ADDRESS(ROW(H75),COLUMN(AD75)-CW75+1,1,1)):INDIRECT(ADDRESS(ROW(H75),COLUMN(AD75)-CW75+1+11,1,1)))</f>
        <v>1091.6429115088299</v>
      </c>
      <c r="F75" s="135"/>
      <c r="G75" s="112" t="s">
        <v>45</v>
      </c>
      <c r="H75" s="96">
        <v>9</v>
      </c>
      <c r="I75" s="95">
        <v>798</v>
      </c>
      <c r="J75" s="95">
        <v>823</v>
      </c>
      <c r="K75" s="95">
        <v>839</v>
      </c>
      <c r="L75" s="41">
        <v>889.34</v>
      </c>
      <c r="M75" s="41">
        <v>969.38060000000007</v>
      </c>
      <c r="N75" s="41">
        <v>1017.8496300000002</v>
      </c>
      <c r="O75" s="41">
        <v>1109.4560967000002</v>
      </c>
      <c r="P75" s="41">
        <v>1176.0234625020003</v>
      </c>
      <c r="Q75" s="41">
        <v>1223.0644010020803</v>
      </c>
      <c r="R75" s="41">
        <v>1345.3708411022885</v>
      </c>
      <c r="S75" s="41">
        <v>1426.093091568426</v>
      </c>
      <c r="T75" s="41">
        <v>1483.1368152311632</v>
      </c>
      <c r="U75" s="41">
        <v>1631.4504967542796</v>
      </c>
      <c r="V75" s="41">
        <v>1761.966536494622</v>
      </c>
      <c r="W75" s="41">
        <v>1902.9238594141918</v>
      </c>
      <c r="X75" s="41">
        <v>1940.9823366024757</v>
      </c>
      <c r="Y75" s="41">
        <v>2115.6707468966988</v>
      </c>
      <c r="Z75" s="41">
        <v>2200.297576772567</v>
      </c>
      <c r="AA75" s="41">
        <v>2420.3273344498239</v>
      </c>
      <c r="AB75" s="41">
        <v>2468.7338811388204</v>
      </c>
      <c r="AC75" s="41">
        <v>2641.5452528185378</v>
      </c>
      <c r="AD75" s="41">
        <v>2773.6225154594649</v>
      </c>
      <c r="AE75" s="151"/>
      <c r="AF75" s="151" t="str">
        <f t="shared" si="52"/>
        <v/>
      </c>
      <c r="AG75" s="151" t="str">
        <f t="shared" si="52"/>
        <v/>
      </c>
      <c r="AH75" s="151" t="str">
        <f t="shared" si="52"/>
        <v/>
      </c>
      <c r="AI75" s="151" t="str">
        <f t="shared" si="52"/>
        <v/>
      </c>
      <c r="AJ75" s="151" t="str">
        <f t="shared" si="52"/>
        <v/>
      </c>
      <c r="AK75" s="151" t="str">
        <f t="shared" si="52"/>
        <v/>
      </c>
      <c r="AL75" s="151" t="str">
        <f t="shared" si="52"/>
        <v/>
      </c>
      <c r="AM75" s="151" t="str">
        <f t="shared" si="52"/>
        <v/>
      </c>
      <c r="AN75" s="151" t="str">
        <f t="shared" si="52"/>
        <v/>
      </c>
      <c r="AO75" s="151" t="str">
        <f t="shared" si="52"/>
        <v/>
      </c>
      <c r="AP75" s="151" t="str">
        <f t="shared" si="52"/>
        <v/>
      </c>
      <c r="AQ75" s="151" t="str">
        <f t="shared" si="52"/>
        <v/>
      </c>
      <c r="AR75" s="151">
        <f t="shared" si="52"/>
        <v>1925.0934082631095</v>
      </c>
      <c r="AS75" s="151">
        <f t="shared" ca="1" si="52"/>
        <v>3582.5691902654548</v>
      </c>
      <c r="AT75" s="151">
        <f t="shared" ca="1" si="52"/>
        <v>2614.7731917124474</v>
      </c>
      <c r="AU75" s="151">
        <f t="shared" ca="1" si="50"/>
        <v>2289.0762536545267</v>
      </c>
      <c r="AV75" s="151">
        <f t="shared" ca="1" si="32"/>
        <v>2382.5079374771608</v>
      </c>
      <c r="AW75" s="151">
        <f t="shared" ca="1" si="32"/>
        <v>2337.1268339061676</v>
      </c>
      <c r="AX75" s="151">
        <f t="shared" ca="1" si="32"/>
        <v>2403.1167872639885</v>
      </c>
      <c r="AY75" s="151">
        <f t="shared" ca="1" si="32"/>
        <v>2201.7337214606323</v>
      </c>
      <c r="AZ75" s="151">
        <f t="shared" ca="1" si="32"/>
        <v>2423.8081195828386</v>
      </c>
      <c r="BA75" s="154">
        <f t="shared" ca="1" si="42"/>
        <v>3252.7543871108874</v>
      </c>
      <c r="BB75" s="158">
        <f t="shared" ca="1" si="42"/>
        <v>3472.6751262040489</v>
      </c>
      <c r="BC75" s="158">
        <f t="shared" ca="1" si="42"/>
        <v>3574.2404475385911</v>
      </c>
      <c r="BD75" s="45" t="str">
        <f t="shared" si="53"/>
        <v/>
      </c>
      <c r="BE75" s="45" t="str">
        <f t="shared" si="53"/>
        <v/>
      </c>
      <c r="BF75" s="45" t="str">
        <f t="shared" si="53"/>
        <v/>
      </c>
      <c r="BG75" s="45" t="str">
        <f t="shared" si="53"/>
        <v/>
      </c>
      <c r="BH75" s="45" t="str">
        <f t="shared" si="53"/>
        <v/>
      </c>
      <c r="BI75" s="45" t="str">
        <f t="shared" si="53"/>
        <v/>
      </c>
      <c r="BJ75" s="45" t="str">
        <f t="shared" si="53"/>
        <v/>
      </c>
      <c r="BK75" s="45" t="str">
        <f t="shared" si="53"/>
        <v/>
      </c>
      <c r="BL75" s="45" t="str">
        <f t="shared" si="51"/>
        <v/>
      </c>
      <c r="BM75" s="45" t="str">
        <f t="shared" si="51"/>
        <v/>
      </c>
      <c r="BN75" s="45" t="str">
        <f t="shared" si="51"/>
        <v/>
      </c>
      <c r="BO75" s="45" t="str">
        <f t="shared" si="51"/>
        <v/>
      </c>
      <c r="BP75" s="45" t="str">
        <f t="shared" si="51"/>
        <v/>
      </c>
      <c r="BQ75" s="45">
        <f t="shared" si="29"/>
        <v>26610.37629297256</v>
      </c>
      <c r="BR75" s="45">
        <f t="shared" ca="1" si="29"/>
        <v>2821208.4374504485</v>
      </c>
      <c r="BS75" s="45">
        <f t="shared" ca="1" si="29"/>
        <v>453994.11642982694</v>
      </c>
      <c r="BT75" s="45">
        <f t="shared" ca="1" si="28"/>
        <v>30069.46977393909</v>
      </c>
      <c r="BU75" s="45">
        <f t="shared" ca="1" si="28"/>
        <v>33200.615548098169</v>
      </c>
      <c r="BV75" s="45">
        <f t="shared" ca="1" si="28"/>
        <v>6922.3232907149504</v>
      </c>
      <c r="BW75" s="45">
        <f t="shared" ca="1" si="28"/>
        <v>4305.6030085784996</v>
      </c>
      <c r="BX75" s="45">
        <f t="shared" ca="1" si="28"/>
        <v>193434.18311538594</v>
      </c>
      <c r="BY75" s="45">
        <f t="shared" ca="1" si="28"/>
        <v>122370.11156252905</v>
      </c>
      <c r="BZ75" s="92">
        <f t="shared" ca="1" si="47"/>
        <v>640.49592213746485</v>
      </c>
      <c r="CA75" s="47">
        <f t="shared" ca="1" si="48"/>
        <v>0.23092396985080119</v>
      </c>
      <c r="CB75" s="42">
        <f t="shared" si="17"/>
        <v>1</v>
      </c>
      <c r="CC75" s="42">
        <f t="shared" si="41"/>
        <v>2</v>
      </c>
      <c r="CD75" s="42">
        <f t="shared" si="41"/>
        <v>3</v>
      </c>
      <c r="CE75" s="42">
        <f t="shared" si="41"/>
        <v>4</v>
      </c>
      <c r="CF75" s="42">
        <f t="shared" si="41"/>
        <v>5</v>
      </c>
      <c r="CG75" s="42">
        <f t="shared" si="41"/>
        <v>6</v>
      </c>
      <c r="CH75" s="42">
        <f t="shared" si="41"/>
        <v>7</v>
      </c>
      <c r="CI75" s="42">
        <f t="shared" si="41"/>
        <v>8</v>
      </c>
      <c r="CJ75" s="42">
        <f t="shared" si="41"/>
        <v>9</v>
      </c>
      <c r="CK75" s="42">
        <f t="shared" si="41"/>
        <v>10</v>
      </c>
      <c r="CL75" s="42">
        <f t="shared" si="41"/>
        <v>11</v>
      </c>
      <c r="CM75" s="42">
        <f t="shared" si="41"/>
        <v>12</v>
      </c>
      <c r="CN75" s="42">
        <f t="shared" si="41"/>
        <v>13</v>
      </c>
      <c r="CO75" s="42">
        <f t="shared" si="41"/>
        <v>14</v>
      </c>
      <c r="CP75" s="42">
        <f t="shared" si="41"/>
        <v>15</v>
      </c>
      <c r="CQ75" s="42">
        <f t="shared" si="41"/>
        <v>16</v>
      </c>
      <c r="CR75" s="42">
        <f t="shared" si="23"/>
        <v>17</v>
      </c>
      <c r="CS75" s="42">
        <f t="shared" si="23"/>
        <v>18</v>
      </c>
      <c r="CT75" s="42">
        <f t="shared" si="23"/>
        <v>19</v>
      </c>
      <c r="CU75" s="42">
        <f t="shared" si="23"/>
        <v>20</v>
      </c>
      <c r="CV75" s="42">
        <f t="shared" si="23"/>
        <v>21</v>
      </c>
      <c r="CW75" s="42">
        <f t="shared" si="23"/>
        <v>22</v>
      </c>
      <c r="CX75" s="42">
        <f t="shared" si="23"/>
        <v>23</v>
      </c>
      <c r="CY75" s="42">
        <f t="shared" si="23"/>
        <v>24</v>
      </c>
      <c r="CZ75" s="42">
        <f t="shared" si="40"/>
        <v>25</v>
      </c>
      <c r="DA75" s="104"/>
      <c r="DB75" s="105"/>
      <c r="DC75" s="105"/>
      <c r="DD75" s="105"/>
      <c r="DE75" s="105"/>
      <c r="DF75" s="105"/>
      <c r="DG75" s="105"/>
      <c r="DH75" s="105"/>
      <c r="DI75" s="105"/>
      <c r="DJ75" s="105"/>
      <c r="DK75" s="105"/>
      <c r="DL75" s="105"/>
      <c r="DM75" s="103">
        <f t="shared" si="43"/>
        <v>1091.6429115088299</v>
      </c>
      <c r="DN75" s="103">
        <f t="shared" ca="1" si="43"/>
        <v>2337.1060508871424</v>
      </c>
      <c r="DO75" s="103">
        <f t="shared" ca="1" si="43"/>
        <v>2475.9396212997949</v>
      </c>
      <c r="DP75" s="103">
        <f t="shared" ca="1" si="43"/>
        <v>2382.5079374771608</v>
      </c>
      <c r="DQ75" s="103">
        <f t="shared" ca="1" si="43"/>
        <v>2382.5079374771608</v>
      </c>
      <c r="DR75" s="103">
        <f t="shared" ca="1" si="43"/>
        <v>2359.8173856916642</v>
      </c>
      <c r="DS75" s="103">
        <f t="shared" ca="1" si="43"/>
        <v>2381.4670864778263</v>
      </c>
      <c r="DT75" s="103">
        <f t="shared" ca="1" si="43"/>
        <v>2291.6004039692293</v>
      </c>
      <c r="DU75" s="103">
        <f t="shared" ca="1" si="43"/>
        <v>2357.7042617760339</v>
      </c>
      <c r="DV75" s="103">
        <f t="shared" ca="1" si="43"/>
        <v>2250.5358862407593</v>
      </c>
      <c r="EI75" s="25">
        <f t="shared" si="44"/>
        <v>833.45049675427958</v>
      </c>
      <c r="EJ75" s="25">
        <f t="shared" ca="1" si="44"/>
        <v>1245.4631393783125</v>
      </c>
      <c r="EK75" s="25">
        <f t="shared" ca="1" si="44"/>
        <v>138.83357041265253</v>
      </c>
      <c r="EL75" s="25">
        <f t="shared" ca="1" si="44"/>
        <v>-93.431683822634113</v>
      </c>
      <c r="EM75" s="25">
        <f t="shared" ca="1" si="44"/>
        <v>0</v>
      </c>
      <c r="EN75" s="25">
        <f t="shared" ca="1" si="44"/>
        <v>-22.690551785496609</v>
      </c>
      <c r="EO75" s="25">
        <f t="shared" ca="1" si="44"/>
        <v>21.649700786162157</v>
      </c>
      <c r="EP75" s="25">
        <f t="shared" ca="1" si="44"/>
        <v>-89.866682508597023</v>
      </c>
      <c r="EQ75" s="25">
        <f t="shared" ca="1" si="44"/>
        <v>66.103857806804626</v>
      </c>
      <c r="ER75" s="25">
        <f t="shared" ca="1" si="44"/>
        <v>-107.16837553527466</v>
      </c>
      <c r="ES75" s="25">
        <f t="shared" ca="1" si="45"/>
        <v>0.73100827348114494</v>
      </c>
      <c r="ET75" s="25">
        <f t="shared" ca="1" si="45"/>
        <v>0.75390953518168202</v>
      </c>
      <c r="EU75" s="25">
        <f t="shared" ca="1" si="45"/>
        <v>0.76856634267002577</v>
      </c>
      <c r="EV75" s="25">
        <f t="shared" ca="1" si="45"/>
        <v>0.81468032323022732</v>
      </c>
      <c r="EW75" s="25">
        <f t="shared" ca="1" si="45"/>
        <v>0.88800155232094791</v>
      </c>
      <c r="EX75" s="25">
        <f t="shared" ca="1" si="45"/>
        <v>0.93240162993699538</v>
      </c>
      <c r="EY75" s="25">
        <f t="shared" ca="1" si="45"/>
        <v>1.0163177766313249</v>
      </c>
      <c r="EZ75" s="25">
        <f t="shared" ca="1" si="45"/>
        <v>1.0772968432292045</v>
      </c>
      <c r="FA75" s="25">
        <f t="shared" ca="1" si="45"/>
        <v>1.1203887169583726</v>
      </c>
      <c r="FB75" s="25">
        <f t="shared" ca="1" si="45"/>
        <v>1.2324275886542102</v>
      </c>
      <c r="FC75" s="25">
        <f t="shared" ca="1" si="45"/>
        <v>1.3063732439734628</v>
      </c>
      <c r="FD75" s="25">
        <f t="shared" ca="1" si="45"/>
        <v>1.3586281737324015</v>
      </c>
      <c r="FE75" s="25">
        <f t="shared" ca="1" si="45"/>
        <v>1.363111095605565</v>
      </c>
      <c r="FF75" s="25">
        <f t="shared" ca="1" si="45"/>
        <v>0.76490800423832717</v>
      </c>
      <c r="FG75" s="25">
        <f t="shared" ca="1" si="45"/>
        <v>0.79018206462792207</v>
      </c>
      <c r="FH75" s="25">
        <f t="shared" ca="1" si="45"/>
        <v>0.83598585818705473</v>
      </c>
      <c r="FI75" s="25">
        <f t="shared" ca="1" si="46"/>
        <v>0.91122458542388984</v>
      </c>
      <c r="FJ75" s="25">
        <f t="shared" ca="1" si="46"/>
        <v>0.95862517534465641</v>
      </c>
      <c r="FK75" s="25">
        <f t="shared" ca="1" si="46"/>
        <v>1.0351528296829433</v>
      </c>
      <c r="FL75" s="25">
        <f t="shared" ca="1" si="46"/>
        <v>1.1053728441842732</v>
      </c>
      <c r="FM75" s="25">
        <f t="shared" ca="1" si="46"/>
        <v>1.1540487225478382</v>
      </c>
      <c r="FN75" s="25">
        <f t="shared" ca="1" si="46"/>
        <v>1.2552677273867248</v>
      </c>
      <c r="FO75" s="25" t="str">
        <f t="shared" si="49"/>
        <v>Winters' model9</v>
      </c>
    </row>
    <row r="76" spans="1:171">
      <c r="A76" s="136"/>
      <c r="B76" s="137"/>
      <c r="C76" s="138"/>
      <c r="D76" s="138"/>
      <c r="E76" s="138">
        <f t="shared" ref="E76:E84" si="54" xml:space="preserve"> MATCH(MIN(DA76:DS76),DA76:DS76,0)</f>
        <v>13</v>
      </c>
      <c r="F76" s="121"/>
      <c r="G76" s="39" t="s">
        <v>46</v>
      </c>
      <c r="H76" s="40">
        <v>1</v>
      </c>
      <c r="I76" s="41">
        <v>32802.146000000001</v>
      </c>
      <c r="J76" s="41">
        <v>33904.127</v>
      </c>
      <c r="K76" s="41">
        <v>32833.296999999999</v>
      </c>
      <c r="L76" s="41">
        <v>29818.438999999988</v>
      </c>
      <c r="M76" s="41">
        <v>33431.994999999974</v>
      </c>
      <c r="N76" s="41">
        <v>28803.478000000006</v>
      </c>
      <c r="O76" s="41">
        <v>40291.759000000013</v>
      </c>
      <c r="P76" s="41">
        <v>26278.331999999999</v>
      </c>
      <c r="Q76" s="41">
        <v>42540.371000000014</v>
      </c>
      <c r="R76" s="41">
        <v>37172.433999999972</v>
      </c>
      <c r="S76" s="41">
        <v>41637.430999999997</v>
      </c>
      <c r="T76" s="41">
        <v>31219.431999999964</v>
      </c>
      <c r="U76" s="41">
        <v>28675.796000000013</v>
      </c>
      <c r="V76" s="41">
        <v>49731.127000000008</v>
      </c>
      <c r="W76" s="41">
        <v>41223.800000000025</v>
      </c>
      <c r="X76" s="41">
        <v>32654.809000000019</v>
      </c>
      <c r="Y76" s="41">
        <v>28539.58400000001</v>
      </c>
      <c r="Z76" s="41">
        <v>21790.126999999993</v>
      </c>
      <c r="AA76" s="41">
        <v>37336.114000000016</v>
      </c>
      <c r="AB76" s="41">
        <v>42632.649000000019</v>
      </c>
      <c r="AC76" s="41">
        <v>31690.889000000021</v>
      </c>
      <c r="AD76" s="41">
        <v>43097.821000000011</v>
      </c>
      <c r="AE76" s="150">
        <f t="shared" ref="AE76:AT80" si="55">_xlfn.FORECAST.ETS(CB76,$I76:$AD76,$CB76:$CW76,$E76,0,1)</f>
        <v>45758.090530688554</v>
      </c>
      <c r="AF76" s="150">
        <f t="shared" si="55"/>
        <v>39096.925748917718</v>
      </c>
      <c r="AG76" s="150">
        <f t="shared" si="55"/>
        <v>31681.657115190443</v>
      </c>
      <c r="AH76" s="150">
        <f t="shared" si="55"/>
        <v>27325.966603045657</v>
      </c>
      <c r="AI76" s="150">
        <f t="shared" si="55"/>
        <v>22107.743715936558</v>
      </c>
      <c r="AJ76" s="150">
        <f t="shared" si="55"/>
        <v>31409.680034645589</v>
      </c>
      <c r="AK76" s="150">
        <f t="shared" si="55"/>
        <v>39540.695627515823</v>
      </c>
      <c r="AL76" s="150">
        <f t="shared" si="55"/>
        <v>27194.627046805217</v>
      </c>
      <c r="AM76" s="150">
        <f t="shared" si="55"/>
        <v>40810.989739173681</v>
      </c>
      <c r="AN76" s="150">
        <f t="shared" si="55"/>
        <v>36332.387732541138</v>
      </c>
      <c r="AO76" s="150">
        <f t="shared" si="55"/>
        <v>40626.499664315728</v>
      </c>
      <c r="AP76" s="150">
        <f t="shared" si="55"/>
        <v>30322.289719619039</v>
      </c>
      <c r="AQ76" s="150">
        <f t="shared" si="55"/>
        <v>27722.602768397264</v>
      </c>
      <c r="AR76" s="150">
        <f t="shared" si="55"/>
        <v>48818.309353521545</v>
      </c>
      <c r="AS76" s="150">
        <f t="shared" si="55"/>
        <v>42157.144571750716</v>
      </c>
      <c r="AT76" s="150">
        <f t="shared" si="55"/>
        <v>34741.875938023433</v>
      </c>
      <c r="AU76" s="150">
        <f t="shared" ref="AO76:BC80" si="56">_xlfn.FORECAST.ETS(CR76,$I76:$AD76,$CB76:$CW76,$E76,0,1)</f>
        <v>30386.185425878655</v>
      </c>
      <c r="AV76" s="150">
        <f t="shared" si="56"/>
        <v>25167.962538769556</v>
      </c>
      <c r="AW76" s="150">
        <f t="shared" si="56"/>
        <v>34469.898857478576</v>
      </c>
      <c r="AX76" s="150">
        <f t="shared" si="56"/>
        <v>42600.914450348821</v>
      </c>
      <c r="AY76" s="150">
        <f t="shared" si="56"/>
        <v>30254.845869638208</v>
      </c>
      <c r="AZ76" s="150">
        <f t="shared" si="56"/>
        <v>43871.208562006679</v>
      </c>
      <c r="BA76" s="148">
        <f t="shared" si="56"/>
        <v>39392.606555374135</v>
      </c>
      <c r="BB76" s="148">
        <f t="shared" si="56"/>
        <v>43686.718487148719</v>
      </c>
      <c r="BC76" s="148">
        <f t="shared" si="56"/>
        <v>33382.508542452037</v>
      </c>
      <c r="BD76" s="45">
        <f t="shared" si="53"/>
        <v>167856498.68227863</v>
      </c>
      <c r="BE76" s="45">
        <f t="shared" si="53"/>
        <v>26965158.846761413</v>
      </c>
      <c r="BF76" s="45">
        <f t="shared" si="53"/>
        <v>1326274.4242841674</v>
      </c>
      <c r="BG76" s="45">
        <f t="shared" si="53"/>
        <v>6212418.6495792642</v>
      </c>
      <c r="BH76" s="45">
        <f t="shared" si="53"/>
        <v>128238667.14461191</v>
      </c>
      <c r="BI76" s="45">
        <f t="shared" si="53"/>
        <v>6792289.0453907764</v>
      </c>
      <c r="BJ76" s="45">
        <f t="shared" si="53"/>
        <v>564096.18948732514</v>
      </c>
      <c r="BK76" s="45">
        <f t="shared" si="53"/>
        <v>839596.61279977777</v>
      </c>
      <c r="BL76" s="45">
        <f t="shared" si="51"/>
        <v>2990759.5452972753</v>
      </c>
      <c r="BM76" s="45">
        <f t="shared" si="51"/>
        <v>705677.73147151945</v>
      </c>
      <c r="BN76" s="45">
        <f t="shared" si="51"/>
        <v>1021982.1654683793</v>
      </c>
      <c r="BO76" s="45">
        <f t="shared" si="51"/>
        <v>804864.27124708716</v>
      </c>
      <c r="BP76" s="45">
        <f t="shared" si="51"/>
        <v>908577.33677329135</v>
      </c>
      <c r="BQ76" s="45">
        <f t="shared" si="29"/>
        <v>833236.05572247994</v>
      </c>
      <c r="BR76" s="45">
        <f t="shared" si="29"/>
        <v>871132.08961648098</v>
      </c>
      <c r="BS76" s="45">
        <f t="shared" si="29"/>
        <v>4355848.4037904292</v>
      </c>
      <c r="BT76" s="45">
        <f t="shared" si="28"/>
        <v>3409936.8260570462</v>
      </c>
      <c r="BU76" s="45">
        <f t="shared" si="28"/>
        <v>11409772.926974664</v>
      </c>
      <c r="BV76" s="45">
        <f t="shared" si="28"/>
        <v>8215189.2432191968</v>
      </c>
      <c r="BW76" s="45">
        <f t="shared" si="28"/>
        <v>1007.0816415644085</v>
      </c>
      <c r="BX76" s="45">
        <f t="shared" si="28"/>
        <v>2062219.8722593561</v>
      </c>
      <c r="BY76" s="45">
        <f t="shared" si="28"/>
        <v>598128.3210666182</v>
      </c>
      <c r="BZ76" s="92">
        <f t="shared" si="47"/>
        <v>4139.517601812815</v>
      </c>
      <c r="CA76" s="47">
        <f t="shared" si="48"/>
        <v>9.6049347873360322E-2</v>
      </c>
      <c r="CB76" s="42">
        <f t="shared" si="17"/>
        <v>1</v>
      </c>
      <c r="CC76" s="42">
        <f t="shared" si="41"/>
        <v>2</v>
      </c>
      <c r="CD76" s="42">
        <f t="shared" si="41"/>
        <v>3</v>
      </c>
      <c r="CE76" s="42">
        <f t="shared" si="41"/>
        <v>4</v>
      </c>
      <c r="CF76" s="42">
        <f t="shared" si="41"/>
        <v>5</v>
      </c>
      <c r="CG76" s="42">
        <f t="shared" si="41"/>
        <v>6</v>
      </c>
      <c r="CH76" s="42">
        <f t="shared" si="41"/>
        <v>7</v>
      </c>
      <c r="CI76" s="42">
        <f t="shared" si="41"/>
        <v>8</v>
      </c>
      <c r="CJ76" s="42">
        <f t="shared" si="41"/>
        <v>9</v>
      </c>
      <c r="CK76" s="42">
        <f t="shared" si="41"/>
        <v>10</v>
      </c>
      <c r="CL76" s="42">
        <f t="shared" si="41"/>
        <v>11</v>
      </c>
      <c r="CM76" s="42">
        <f t="shared" si="41"/>
        <v>12</v>
      </c>
      <c r="CN76" s="42">
        <f t="shared" si="41"/>
        <v>13</v>
      </c>
      <c r="CO76" s="42">
        <f t="shared" si="41"/>
        <v>14</v>
      </c>
      <c r="CP76" s="42">
        <f t="shared" si="41"/>
        <v>15</v>
      </c>
      <c r="CQ76" s="42">
        <f t="shared" si="41"/>
        <v>16</v>
      </c>
      <c r="CR76" s="42">
        <f t="shared" si="23"/>
        <v>17</v>
      </c>
      <c r="CS76" s="42">
        <f t="shared" si="23"/>
        <v>18</v>
      </c>
      <c r="CT76" s="42">
        <f t="shared" si="23"/>
        <v>19</v>
      </c>
      <c r="CU76" s="42">
        <f t="shared" si="23"/>
        <v>20</v>
      </c>
      <c r="CV76" s="42">
        <f t="shared" si="23"/>
        <v>21</v>
      </c>
      <c r="CW76" s="42">
        <f t="shared" si="23"/>
        <v>22</v>
      </c>
      <c r="CX76" s="42">
        <f t="shared" si="23"/>
        <v>23</v>
      </c>
      <c r="CY76" s="42">
        <f t="shared" si="23"/>
        <v>24</v>
      </c>
      <c r="CZ76" s="42">
        <f t="shared" si="40"/>
        <v>25</v>
      </c>
      <c r="DA76" s="99">
        <f t="shared" ref="DA76:DP80" si="57">_xlfn.FORECAST.ETS.STAT($I76:$AD76,$CB76:$CW76,7,CB76,0,1)</f>
        <v>7109.7217861751578</v>
      </c>
      <c r="DB76" s="99">
        <f t="shared" si="57"/>
        <v>7622.8216800772834</v>
      </c>
      <c r="DC76" s="99">
        <f t="shared" si="57"/>
        <v>7248.134672118229</v>
      </c>
      <c r="DD76" s="99">
        <f t="shared" si="57"/>
        <v>7992.3394509679674</v>
      </c>
      <c r="DE76" s="99">
        <f t="shared" si="57"/>
        <v>5706.5538306471808</v>
      </c>
      <c r="DF76" s="99">
        <f t="shared" si="57"/>
        <v>6966.5024110868799</v>
      </c>
      <c r="DG76" s="99">
        <f t="shared" si="57"/>
        <v>11327.673430414505</v>
      </c>
      <c r="DH76" s="99">
        <f t="shared" si="57"/>
        <v>10061.332582642222</v>
      </c>
      <c r="DI76" s="99">
        <f t="shared" si="57"/>
        <v>9117.2861741409779</v>
      </c>
      <c r="DJ76" s="99">
        <f t="shared" si="57"/>
        <v>7184.2353127607757</v>
      </c>
      <c r="DK76" s="99">
        <f t="shared" si="57"/>
        <v>5369.1159530192472</v>
      </c>
      <c r="DL76" s="99">
        <f t="shared" si="57"/>
        <v>5783.479594869731</v>
      </c>
      <c r="DM76" s="99">
        <f t="shared" si="57"/>
        <v>3054.6261725316735</v>
      </c>
      <c r="DN76" s="99">
        <f t="shared" si="57"/>
        <v>5048.8764855302616</v>
      </c>
      <c r="DO76" s="99">
        <f t="shared" si="57"/>
        <v>7109.7217861751578</v>
      </c>
      <c r="DP76" s="99">
        <f t="shared" si="57"/>
        <v>7109.7217861751578</v>
      </c>
      <c r="DQ76" s="99">
        <f t="shared" ref="DK76:DS80" si="58">_xlfn.FORECAST.ETS.STAT($I76:$AD76,$CB76:$CW76,7,CR76,0,1)</f>
        <v>7109.7217861751578</v>
      </c>
      <c r="DR76" s="99">
        <f t="shared" si="58"/>
        <v>7109.7217861751578</v>
      </c>
      <c r="DS76" s="99">
        <f t="shared" si="58"/>
        <v>7109.7217861751578</v>
      </c>
      <c r="DT76" s="99"/>
      <c r="DU76" s="99"/>
      <c r="DV76" s="99"/>
      <c r="DW76" s="41"/>
      <c r="DX76" s="41"/>
      <c r="DY76" s="41"/>
      <c r="DZ76" s="41"/>
      <c r="EA76" s="41"/>
      <c r="EB76" s="41"/>
      <c r="EC76" s="41"/>
      <c r="ED76" s="41"/>
      <c r="EE76" s="41"/>
      <c r="EF76" s="41"/>
      <c r="EG76" s="41"/>
      <c r="EH76" s="41"/>
      <c r="EI76" s="41"/>
      <c r="EJ76" s="41"/>
      <c r="EK76" s="41"/>
      <c r="EL76" s="41"/>
      <c r="EM76" s="41"/>
      <c r="EN76" s="41"/>
      <c r="EO76" s="41"/>
      <c r="EP76" s="41"/>
      <c r="EQ76" s="41"/>
      <c r="ER76" s="41"/>
      <c r="ES76" s="99"/>
      <c r="ET76" s="99"/>
      <c r="EU76" s="99"/>
      <c r="EV76" s="99"/>
      <c r="EW76" s="99"/>
      <c r="EX76" s="99"/>
      <c r="EY76" s="99"/>
      <c r="EZ76" s="99"/>
      <c r="FA76" s="99"/>
      <c r="FB76" s="99"/>
      <c r="FC76" s="99"/>
      <c r="FD76" s="99"/>
      <c r="FE76" s="99"/>
      <c r="FF76" s="99"/>
      <c r="FG76" s="99"/>
      <c r="FH76" s="99"/>
      <c r="FI76" s="99"/>
      <c r="FJ76" s="99"/>
      <c r="FK76" s="99"/>
      <c r="FL76" s="99"/>
      <c r="FM76" s="99"/>
      <c r="FN76" s="99"/>
      <c r="FO76" s="25" t="str">
        <f t="shared" si="49"/>
        <v>Forecast function1</v>
      </c>
    </row>
    <row r="77" spans="1:171">
      <c r="A77" s="146"/>
      <c r="B77" s="115"/>
      <c r="C77" s="115"/>
      <c r="D77" s="115"/>
      <c r="E77" s="115">
        <f t="shared" si="54"/>
        <v>13</v>
      </c>
      <c r="F77" s="131"/>
      <c r="G77" s="39" t="s">
        <v>46</v>
      </c>
      <c r="H77" s="40">
        <v>2</v>
      </c>
      <c r="I77" s="41">
        <v>2034.829</v>
      </c>
      <c r="J77" s="41">
        <v>3926.1889999999994</v>
      </c>
      <c r="K77" s="41">
        <v>3165.9719999999993</v>
      </c>
      <c r="L77" s="41">
        <v>2405.7349999999997</v>
      </c>
      <c r="M77" s="41">
        <v>4985.2890000000025</v>
      </c>
      <c r="N77" s="41">
        <v>3527.0360000000028</v>
      </c>
      <c r="O77" s="41">
        <v>5465.6859999999933</v>
      </c>
      <c r="P77" s="41">
        <v>3315.097000000002</v>
      </c>
      <c r="Q77" s="41">
        <v>5477.0960000000023</v>
      </c>
      <c r="R77" s="41">
        <v>4799.9790000000003</v>
      </c>
      <c r="S77" s="41">
        <v>6470.7690000000048</v>
      </c>
      <c r="T77" s="41">
        <v>5351.2719999999999</v>
      </c>
      <c r="U77" s="41">
        <v>5938.1189999999997</v>
      </c>
      <c r="V77" s="41">
        <v>4660.0050000000001</v>
      </c>
      <c r="W77" s="41">
        <v>5788.3040000000074</v>
      </c>
      <c r="X77" s="41">
        <v>5788.3040000000074</v>
      </c>
      <c r="Y77" s="41">
        <v>5652.8189999999959</v>
      </c>
      <c r="Z77" s="41">
        <v>4704.0000000000045</v>
      </c>
      <c r="AA77" s="41">
        <v>4291.5800000000008</v>
      </c>
      <c r="AB77" s="41">
        <v>5788.3040000000074</v>
      </c>
      <c r="AC77" s="41">
        <v>5711.5479999999989</v>
      </c>
      <c r="AD77" s="41">
        <v>6232.6779999999999</v>
      </c>
      <c r="AE77" s="150">
        <f t="shared" si="55"/>
        <v>3314.984385950364</v>
      </c>
      <c r="AF77" s="150">
        <f t="shared" si="55"/>
        <v>4583.7236080969742</v>
      </c>
      <c r="AG77" s="150">
        <f t="shared" si="55"/>
        <v>4416.6878716413084</v>
      </c>
      <c r="AH77" s="150">
        <f t="shared" si="55"/>
        <v>4168.086922277892</v>
      </c>
      <c r="AI77" s="150">
        <f t="shared" si="55"/>
        <v>3905.8141851973496</v>
      </c>
      <c r="AJ77" s="150">
        <f t="shared" si="55"/>
        <v>3304.1698586978482</v>
      </c>
      <c r="AK77" s="150">
        <f t="shared" si="55"/>
        <v>4997.1747829492815</v>
      </c>
      <c r="AL77" s="150">
        <f t="shared" si="55"/>
        <v>3943.2409153571834</v>
      </c>
      <c r="AM77" s="150">
        <f t="shared" si="55"/>
        <v>5206.4759133584694</v>
      </c>
      <c r="AN77" s="150">
        <f t="shared" si="55"/>
        <v>4739.9907246308076</v>
      </c>
      <c r="AO77" s="150">
        <f t="shared" si="56"/>
        <v>6385.065632295039</v>
      </c>
      <c r="AP77" s="150">
        <f t="shared" si="56"/>
        <v>5256.2332840013914</v>
      </c>
      <c r="AQ77" s="150">
        <f t="shared" si="56"/>
        <v>5779.7849264258593</v>
      </c>
      <c r="AR77" s="150">
        <f t="shared" si="56"/>
        <v>4496.3963399696868</v>
      </c>
      <c r="AS77" s="150">
        <f t="shared" si="56"/>
        <v>5765.1355621162975</v>
      </c>
      <c r="AT77" s="150">
        <f t="shared" si="56"/>
        <v>5598.0998256606317</v>
      </c>
      <c r="AU77" s="150">
        <f t="shared" si="56"/>
        <v>5349.4988762972152</v>
      </c>
      <c r="AV77" s="150">
        <f t="shared" si="56"/>
        <v>5087.2261392166729</v>
      </c>
      <c r="AW77" s="150">
        <f t="shared" si="56"/>
        <v>4485.5818127171715</v>
      </c>
      <c r="AX77" s="150">
        <f t="shared" si="56"/>
        <v>6178.5867369686048</v>
      </c>
      <c r="AY77" s="150">
        <f t="shared" si="56"/>
        <v>5124.6528693765067</v>
      </c>
      <c r="AZ77" s="150">
        <f t="shared" si="56"/>
        <v>6387.8878673777926</v>
      </c>
      <c r="BA77" s="148">
        <f t="shared" si="56"/>
        <v>5921.4026786501308</v>
      </c>
      <c r="BB77" s="148">
        <f t="shared" si="56"/>
        <v>7566.4775863143623</v>
      </c>
      <c r="BC77" s="148">
        <f t="shared" si="56"/>
        <v>6437.6452380207147</v>
      </c>
      <c r="BD77" s="45">
        <f t="shared" si="53"/>
        <v>1638797.8121777254</v>
      </c>
      <c r="BE77" s="45">
        <f t="shared" si="53"/>
        <v>432351.76084524224</v>
      </c>
      <c r="BF77" s="45">
        <f t="shared" si="53"/>
        <v>1564290.1915754797</v>
      </c>
      <c r="BG77" s="45">
        <f t="shared" si="53"/>
        <v>3105884.2979565822</v>
      </c>
      <c r="BH77" s="45">
        <f t="shared" si="53"/>
        <v>1165265.8757932216</v>
      </c>
      <c r="BI77" s="45">
        <f t="shared" si="53"/>
        <v>49669.316938911928</v>
      </c>
      <c r="BJ77" s="45">
        <f t="shared" si="53"/>
        <v>219502.7605023392</v>
      </c>
      <c r="BK77" s="45">
        <f t="shared" si="53"/>
        <v>394564.7784002499</v>
      </c>
      <c r="BL77" s="45">
        <f t="shared" si="51"/>
        <v>73235.231293870776</v>
      </c>
      <c r="BM77" s="45">
        <f t="shared" si="51"/>
        <v>3598.5931817700925</v>
      </c>
      <c r="BN77" s="45">
        <f t="shared" si="51"/>
        <v>7345.0672359725722</v>
      </c>
      <c r="BO77" s="45">
        <f t="shared" si="51"/>
        <v>9032.3575386641623</v>
      </c>
      <c r="BP77" s="45">
        <f t="shared" si="51"/>
        <v>25069.678854581289</v>
      </c>
      <c r="BQ77" s="45">
        <f t="shared" si="29"/>
        <v>26767.793636914648</v>
      </c>
      <c r="BR77" s="45">
        <f t="shared" si="29"/>
        <v>536.77651397132331</v>
      </c>
      <c r="BS77" s="45">
        <f t="shared" si="29"/>
        <v>36177.627936123601</v>
      </c>
      <c r="BT77" s="45">
        <f t="shared" si="28"/>
        <v>92003.097443070132</v>
      </c>
      <c r="BU77" s="45">
        <f t="shared" si="28"/>
        <v>146862.27377891328</v>
      </c>
      <c r="BV77" s="45">
        <f t="shared" si="28"/>
        <v>37636.703337548155</v>
      </c>
      <c r="BW77" s="45">
        <f t="shared" si="28"/>
        <v>152320.61477569939</v>
      </c>
      <c r="BX77" s="45">
        <f t="shared" si="28"/>
        <v>344445.8943495659</v>
      </c>
      <c r="BY77" s="45">
        <f t="shared" si="28"/>
        <v>24090.102931432019</v>
      </c>
      <c r="BZ77" s="92">
        <f t="shared" si="47"/>
        <v>658.83673681165465</v>
      </c>
      <c r="CA77" s="47">
        <f t="shared" si="48"/>
        <v>0.10570684652915724</v>
      </c>
      <c r="CB77" s="42">
        <f t="shared" si="17"/>
        <v>1</v>
      </c>
      <c r="CC77" s="42">
        <f t="shared" si="41"/>
        <v>2</v>
      </c>
      <c r="CD77" s="42">
        <f t="shared" si="41"/>
        <v>3</v>
      </c>
      <c r="CE77" s="42">
        <f t="shared" si="41"/>
        <v>4</v>
      </c>
      <c r="CF77" s="42">
        <f t="shared" si="41"/>
        <v>5</v>
      </c>
      <c r="CG77" s="42">
        <f t="shared" si="41"/>
        <v>6</v>
      </c>
      <c r="CH77" s="42">
        <f t="shared" si="41"/>
        <v>7</v>
      </c>
      <c r="CI77" s="42">
        <f t="shared" si="41"/>
        <v>8</v>
      </c>
      <c r="CJ77" s="42">
        <f t="shared" si="41"/>
        <v>9</v>
      </c>
      <c r="CK77" s="42">
        <f t="shared" si="41"/>
        <v>10</v>
      </c>
      <c r="CL77" s="42">
        <f t="shared" si="41"/>
        <v>11</v>
      </c>
      <c r="CM77" s="42">
        <f t="shared" si="41"/>
        <v>12</v>
      </c>
      <c r="CN77" s="42">
        <f t="shared" si="41"/>
        <v>13</v>
      </c>
      <c r="CO77" s="42">
        <f t="shared" si="41"/>
        <v>14</v>
      </c>
      <c r="CP77" s="42">
        <f t="shared" si="41"/>
        <v>15</v>
      </c>
      <c r="CQ77" s="42">
        <f t="shared" si="41"/>
        <v>16</v>
      </c>
      <c r="CR77" s="42">
        <f t="shared" si="23"/>
        <v>17</v>
      </c>
      <c r="CS77" s="42">
        <f t="shared" si="23"/>
        <v>18</v>
      </c>
      <c r="CT77" s="42">
        <f t="shared" si="23"/>
        <v>19</v>
      </c>
      <c r="CU77" s="42">
        <f t="shared" si="23"/>
        <v>20</v>
      </c>
      <c r="CV77" s="42">
        <f t="shared" si="23"/>
        <v>21</v>
      </c>
      <c r="CW77" s="42">
        <f t="shared" si="23"/>
        <v>22</v>
      </c>
      <c r="CX77" s="42">
        <f t="shared" si="23"/>
        <v>23</v>
      </c>
      <c r="CY77" s="42">
        <f t="shared" si="23"/>
        <v>24</v>
      </c>
      <c r="CZ77" s="42">
        <f t="shared" si="40"/>
        <v>25</v>
      </c>
      <c r="DA77" s="99">
        <f t="shared" si="57"/>
        <v>807.66823496517338</v>
      </c>
      <c r="DB77" s="99">
        <f t="shared" si="57"/>
        <v>989.40487893972636</v>
      </c>
      <c r="DC77" s="99">
        <f t="shared" si="57"/>
        <v>714.44876260057401</v>
      </c>
      <c r="DD77" s="99">
        <f t="shared" si="57"/>
        <v>1395.057242428139</v>
      </c>
      <c r="DE77" s="99">
        <f t="shared" si="57"/>
        <v>509.63388232337553</v>
      </c>
      <c r="DF77" s="99">
        <f t="shared" si="57"/>
        <v>1384.4462649203888</v>
      </c>
      <c r="DG77" s="99">
        <f t="shared" si="57"/>
        <v>1182.2803838998616</v>
      </c>
      <c r="DH77" s="99">
        <f t="shared" si="57"/>
        <v>1718.5545719319286</v>
      </c>
      <c r="DI77" s="99">
        <f t="shared" si="57"/>
        <v>1032.5899483725577</v>
      </c>
      <c r="DJ77" s="99">
        <f t="shared" si="57"/>
        <v>843.95260879094837</v>
      </c>
      <c r="DK77" s="99">
        <f t="shared" si="58"/>
        <v>718.07702572760763</v>
      </c>
      <c r="DL77" s="99">
        <f t="shared" si="58"/>
        <v>767.48391926607849</v>
      </c>
      <c r="DM77" s="99">
        <f t="shared" si="58"/>
        <v>505.15583574815759</v>
      </c>
      <c r="DN77" s="99">
        <f t="shared" si="58"/>
        <v>598.81963167392246</v>
      </c>
      <c r="DO77" s="99">
        <f t="shared" si="58"/>
        <v>807.66823496517338</v>
      </c>
      <c r="DP77" s="99">
        <f t="shared" si="58"/>
        <v>807.66823496517338</v>
      </c>
      <c r="DQ77" s="99">
        <f t="shared" si="58"/>
        <v>807.66823496517338</v>
      </c>
      <c r="DR77" s="99">
        <f t="shared" si="58"/>
        <v>807.66823496517338</v>
      </c>
      <c r="DS77" s="99">
        <f t="shared" si="58"/>
        <v>807.66823496517338</v>
      </c>
      <c r="DT77" s="99"/>
      <c r="DU77" s="99"/>
      <c r="DV77" s="99"/>
      <c r="DW77" s="41"/>
      <c r="DX77" s="41"/>
      <c r="DY77" s="41"/>
      <c r="DZ77" s="41"/>
      <c r="EA77" s="41"/>
      <c r="EB77" s="41"/>
      <c r="EC77" s="41"/>
      <c r="ED77" s="41"/>
      <c r="EE77" s="41"/>
      <c r="EF77" s="41"/>
      <c r="EG77" s="41"/>
      <c r="EH77" s="41"/>
      <c r="EI77" s="41"/>
      <c r="EJ77" s="41"/>
      <c r="EK77" s="41"/>
      <c r="EL77" s="41"/>
      <c r="EM77" s="41"/>
      <c r="EN77" s="41"/>
      <c r="EO77" s="41"/>
      <c r="EP77" s="41"/>
      <c r="EQ77" s="41"/>
      <c r="ER77" s="41"/>
      <c r="ES77" s="100"/>
      <c r="ET77" s="99"/>
      <c r="EU77" s="99"/>
      <c r="EV77" s="99"/>
      <c r="EW77" s="99"/>
      <c r="EX77" s="99"/>
      <c r="EY77" s="99"/>
      <c r="EZ77" s="99"/>
      <c r="FA77" s="99"/>
      <c r="FB77" s="99"/>
      <c r="FC77" s="99"/>
      <c r="FD77" s="99"/>
      <c r="FE77" s="99"/>
      <c r="FF77" s="99"/>
      <c r="FG77" s="99"/>
      <c r="FH77" s="99"/>
      <c r="FI77" s="99"/>
      <c r="FJ77" s="99"/>
      <c r="FK77" s="99"/>
      <c r="FL77" s="99"/>
      <c r="FM77" s="99"/>
      <c r="FN77" s="99"/>
      <c r="FO77" s="25" t="str">
        <f t="shared" si="49"/>
        <v>Forecast function2</v>
      </c>
    </row>
    <row r="78" spans="1:171">
      <c r="A78" s="146"/>
      <c r="B78" s="115"/>
      <c r="C78" s="115"/>
      <c r="D78" s="115"/>
      <c r="E78" s="115">
        <f t="shared" si="54"/>
        <v>12</v>
      </c>
      <c r="F78" s="124"/>
      <c r="G78" s="39" t="s">
        <v>46</v>
      </c>
      <c r="H78" s="40">
        <v>3</v>
      </c>
      <c r="I78" s="41">
        <v>13358.629000000003</v>
      </c>
      <c r="J78" s="41">
        <v>20803.865999999976</v>
      </c>
      <c r="K78" s="41">
        <v>20017.845000000023</v>
      </c>
      <c r="L78" s="41">
        <v>15104.177</v>
      </c>
      <c r="M78" s="41">
        <v>26176.769000000015</v>
      </c>
      <c r="N78" s="41">
        <v>16747.22099999998</v>
      </c>
      <c r="O78" s="41">
        <v>26239.445000000032</v>
      </c>
      <c r="P78" s="41">
        <v>19977.948</v>
      </c>
      <c r="Q78" s="41">
        <v>24363.912000000008</v>
      </c>
      <c r="R78" s="41">
        <v>27562.603000000043</v>
      </c>
      <c r="S78" s="41">
        <v>19304.851999999999</v>
      </c>
      <c r="T78" s="41">
        <v>18896.307999999983</v>
      </c>
      <c r="U78" s="41">
        <v>18222.650000000001</v>
      </c>
      <c r="V78" s="41">
        <v>22709.071000000025</v>
      </c>
      <c r="W78" s="41">
        <v>16042.15199999998</v>
      </c>
      <c r="X78" s="41">
        <v>16228.581999999999</v>
      </c>
      <c r="Y78" s="41">
        <v>16931.791000000016</v>
      </c>
      <c r="Z78" s="41">
        <v>19747.198</v>
      </c>
      <c r="AA78" s="41">
        <v>19613.917000000005</v>
      </c>
      <c r="AB78" s="41">
        <v>23936.453999999991</v>
      </c>
      <c r="AC78" s="41">
        <v>26626.845000000001</v>
      </c>
      <c r="AD78" s="41">
        <v>29996.83699999996</v>
      </c>
      <c r="AE78" s="150">
        <f t="shared" si="55"/>
        <v>18163.278666102684</v>
      </c>
      <c r="AF78" s="150">
        <f t="shared" si="55"/>
        <v>23220.674877809597</v>
      </c>
      <c r="AG78" s="150">
        <f t="shared" si="55"/>
        <v>17583.302957514756</v>
      </c>
      <c r="AH78" s="150">
        <f t="shared" si="55"/>
        <v>16569.441840146821</v>
      </c>
      <c r="AI78" s="150">
        <f t="shared" si="55"/>
        <v>19169.88861021258</v>
      </c>
      <c r="AJ78" s="150">
        <f t="shared" si="55"/>
        <v>18480.748358770696</v>
      </c>
      <c r="AK78" s="150">
        <f t="shared" si="55"/>
        <v>22854.296113138924</v>
      </c>
      <c r="AL78" s="150">
        <f t="shared" si="55"/>
        <v>22369.966530293856</v>
      </c>
      <c r="AM78" s="150">
        <f t="shared" si="55"/>
        <v>25741.528453569743</v>
      </c>
      <c r="AN78" s="150">
        <f t="shared" si="55"/>
        <v>29033.514555937429</v>
      </c>
      <c r="AO78" s="150">
        <f t="shared" si="56"/>
        <v>19516.911409456221</v>
      </c>
      <c r="AP78" s="150">
        <f t="shared" si="56"/>
        <v>19188.505150952504</v>
      </c>
      <c r="AQ78" s="150">
        <f t="shared" si="56"/>
        <v>18528.899702401635</v>
      </c>
      <c r="AR78" s="150">
        <f t="shared" si="56"/>
        <v>23586.295914108552</v>
      </c>
      <c r="AS78" s="150">
        <f t="shared" si="56"/>
        <v>17948.923993813711</v>
      </c>
      <c r="AT78" s="150">
        <f t="shared" si="56"/>
        <v>16935.06287644578</v>
      </c>
      <c r="AU78" s="150">
        <f t="shared" si="56"/>
        <v>19535.509646511535</v>
      </c>
      <c r="AV78" s="150">
        <f t="shared" si="56"/>
        <v>18846.369395069654</v>
      </c>
      <c r="AW78" s="150">
        <f t="shared" si="56"/>
        <v>23219.917149437879</v>
      </c>
      <c r="AX78" s="150">
        <f t="shared" si="56"/>
        <v>22735.587566592811</v>
      </c>
      <c r="AY78" s="150">
        <f t="shared" si="56"/>
        <v>26107.149489868698</v>
      </c>
      <c r="AZ78" s="150">
        <f t="shared" si="56"/>
        <v>29399.135592236384</v>
      </c>
      <c r="BA78" s="148">
        <f t="shared" si="56"/>
        <v>19882.532445755176</v>
      </c>
      <c r="BB78" s="148">
        <f t="shared" si="56"/>
        <v>19554.126187251455</v>
      </c>
      <c r="BC78" s="148">
        <f t="shared" si="56"/>
        <v>18894.520738700594</v>
      </c>
      <c r="BD78" s="45">
        <f t="shared" si="53"/>
        <v>23084658.413980607</v>
      </c>
      <c r="BE78" s="45">
        <f t="shared" si="53"/>
        <v>5840965.151859398</v>
      </c>
      <c r="BF78" s="45">
        <f t="shared" si="53"/>
        <v>5926994.9566283375</v>
      </c>
      <c r="BG78" s="45">
        <f t="shared" si="53"/>
        <v>2147001.0517704901</v>
      </c>
      <c r="BH78" s="45">
        <f t="shared" si="53"/>
        <v>49096372.796787716</v>
      </c>
      <c r="BI78" s="45">
        <f t="shared" si="53"/>
        <v>3005117.1036065752</v>
      </c>
      <c r="BJ78" s="45">
        <f t="shared" si="53"/>
        <v>11459232.986217003</v>
      </c>
      <c r="BK78" s="45">
        <f t="shared" si="53"/>
        <v>5721752.6492691757</v>
      </c>
      <c r="BL78" s="45">
        <f t="shared" si="51"/>
        <v>1897827.0931460548</v>
      </c>
      <c r="BM78" s="45">
        <f t="shared" si="51"/>
        <v>2163580.8053901414</v>
      </c>
      <c r="BN78" s="45">
        <f t="shared" si="51"/>
        <v>44969.193138921641</v>
      </c>
      <c r="BO78" s="45">
        <f t="shared" si="51"/>
        <v>85379.175024770375</v>
      </c>
      <c r="BP78" s="45">
        <f t="shared" si="51"/>
        <v>93788.88022108929</v>
      </c>
      <c r="BQ78" s="45">
        <f t="shared" si="29"/>
        <v>769523.54993271211</v>
      </c>
      <c r="BR78" s="45">
        <f t="shared" si="29"/>
        <v>3635779.4363923897</v>
      </c>
      <c r="BS78" s="45">
        <f t="shared" si="29"/>
        <v>499115.2287835991</v>
      </c>
      <c r="BT78" s="45">
        <f t="shared" si="28"/>
        <v>6779350.7901917771</v>
      </c>
      <c r="BU78" s="45">
        <f t="shared" si="28"/>
        <v>811492.1754607535</v>
      </c>
      <c r="BV78" s="45">
        <f t="shared" si="28"/>
        <v>13003237.077745968</v>
      </c>
      <c r="BW78" s="45">
        <f t="shared" si="28"/>
        <v>1442080.1908840812</v>
      </c>
      <c r="BX78" s="45">
        <f t="shared" si="28"/>
        <v>270083.42325063556</v>
      </c>
      <c r="BY78" s="45">
        <f t="shared" si="28"/>
        <v>357246.97284256038</v>
      </c>
      <c r="BZ78" s="92">
        <f t="shared" si="47"/>
        <v>2505.7710580915627</v>
      </c>
      <c r="CA78" s="47">
        <f t="shared" si="48"/>
        <v>8.3534509258144984E-2</v>
      </c>
      <c r="CB78" s="42">
        <f t="shared" si="17"/>
        <v>1</v>
      </c>
      <c r="CC78" s="42">
        <f t="shared" si="41"/>
        <v>2</v>
      </c>
      <c r="CD78" s="42">
        <f t="shared" si="41"/>
        <v>3</v>
      </c>
      <c r="CE78" s="42">
        <f t="shared" si="41"/>
        <v>4</v>
      </c>
      <c r="CF78" s="42">
        <f t="shared" si="41"/>
        <v>5</v>
      </c>
      <c r="CG78" s="42">
        <f t="shared" si="41"/>
        <v>6</v>
      </c>
      <c r="CH78" s="42">
        <f t="shared" si="41"/>
        <v>7</v>
      </c>
      <c r="CI78" s="42">
        <f t="shared" si="41"/>
        <v>8</v>
      </c>
      <c r="CJ78" s="42">
        <f t="shared" si="41"/>
        <v>9</v>
      </c>
      <c r="CK78" s="42">
        <f t="shared" si="41"/>
        <v>10</v>
      </c>
      <c r="CL78" s="42">
        <f t="shared" si="41"/>
        <v>11</v>
      </c>
      <c r="CM78" s="42">
        <f t="shared" si="41"/>
        <v>12</v>
      </c>
      <c r="CN78" s="42">
        <f t="shared" si="41"/>
        <v>13</v>
      </c>
      <c r="CO78" s="42">
        <f t="shared" si="41"/>
        <v>14</v>
      </c>
      <c r="CP78" s="42">
        <f t="shared" si="41"/>
        <v>15</v>
      </c>
      <c r="CQ78" s="42">
        <f t="shared" si="41"/>
        <v>16</v>
      </c>
      <c r="CR78" s="42">
        <f t="shared" si="41"/>
        <v>17</v>
      </c>
      <c r="CS78" s="42">
        <f t="shared" ref="CS78:CY84" si="59">IF(CR78&lt;&gt;"",CR78+1,IF(Z78=0,"",1))</f>
        <v>18</v>
      </c>
      <c r="CT78" s="42">
        <f t="shared" si="59"/>
        <v>19</v>
      </c>
      <c r="CU78" s="42">
        <f t="shared" si="59"/>
        <v>20</v>
      </c>
      <c r="CV78" s="42">
        <f t="shared" si="59"/>
        <v>21</v>
      </c>
      <c r="CW78" s="42">
        <f t="shared" si="59"/>
        <v>22</v>
      </c>
      <c r="CX78" s="42">
        <f t="shared" si="59"/>
        <v>23</v>
      </c>
      <c r="CY78" s="42">
        <f t="shared" si="59"/>
        <v>24</v>
      </c>
      <c r="CZ78" s="42">
        <f t="shared" si="40"/>
        <v>25</v>
      </c>
      <c r="DA78" s="99">
        <f t="shared" si="57"/>
        <v>4520.5288041051936</v>
      </c>
      <c r="DB78" s="99">
        <f t="shared" si="57"/>
        <v>4624.8682053201073</v>
      </c>
      <c r="DC78" s="99">
        <f t="shared" si="57"/>
        <v>4793.3012598807045</v>
      </c>
      <c r="DD78" s="99">
        <f t="shared" si="57"/>
        <v>4449.7383770715815</v>
      </c>
      <c r="DE78" s="99">
        <f t="shared" si="57"/>
        <v>6267.133842839793</v>
      </c>
      <c r="DF78" s="99">
        <f t="shared" si="57"/>
        <v>5187.0987062887534</v>
      </c>
      <c r="DG78" s="99">
        <f t="shared" si="57"/>
        <v>5893.3784518813782</v>
      </c>
      <c r="DH78" s="99">
        <f t="shared" si="57"/>
        <v>6121.2786692255067</v>
      </c>
      <c r="DI78" s="99">
        <f t="shared" si="57"/>
        <v>5453.1419131429639</v>
      </c>
      <c r="DJ78" s="99">
        <f t="shared" si="57"/>
        <v>5860.2544943321027</v>
      </c>
      <c r="DK78" s="99">
        <f t="shared" si="58"/>
        <v>4570.951089541345</v>
      </c>
      <c r="DL78" s="99">
        <f t="shared" si="58"/>
        <v>2565.419630741837</v>
      </c>
      <c r="DM78" s="99">
        <f t="shared" si="58"/>
        <v>2615.4145506761456</v>
      </c>
      <c r="DN78" s="99">
        <f t="shared" si="58"/>
        <v>2745.6010597564882</v>
      </c>
      <c r="DO78" s="99">
        <f t="shared" si="58"/>
        <v>4520.5288041051936</v>
      </c>
      <c r="DP78" s="99">
        <f t="shared" si="58"/>
        <v>4520.5288041051936</v>
      </c>
      <c r="DQ78" s="99">
        <f t="shared" si="58"/>
        <v>4520.5288041051936</v>
      </c>
      <c r="DR78" s="99">
        <f t="shared" si="58"/>
        <v>4520.5288041051936</v>
      </c>
      <c r="DS78" s="99">
        <f t="shared" si="58"/>
        <v>4520.5288041051936</v>
      </c>
      <c r="DT78" s="99"/>
      <c r="DU78" s="99"/>
      <c r="DV78" s="99"/>
      <c r="DW78" s="41"/>
      <c r="DX78" s="41"/>
      <c r="DY78" s="41"/>
      <c r="DZ78" s="41"/>
      <c r="EA78" s="41"/>
      <c r="EB78" s="41"/>
      <c r="EC78" s="41"/>
      <c r="ED78" s="41"/>
      <c r="EE78" s="41"/>
      <c r="EF78" s="41"/>
      <c r="EG78" s="41"/>
      <c r="EH78" s="41"/>
      <c r="EI78" s="41"/>
      <c r="EJ78" s="41"/>
      <c r="EK78" s="41"/>
      <c r="EL78" s="41"/>
      <c r="EM78" s="41"/>
      <c r="EN78" s="41"/>
      <c r="EO78" s="41"/>
      <c r="EP78" s="41"/>
      <c r="EQ78" s="41"/>
      <c r="ER78" s="41"/>
      <c r="ES78" s="100"/>
      <c r="ET78" s="99"/>
      <c r="EU78" s="99"/>
      <c r="EV78" s="99"/>
      <c r="EW78" s="99"/>
      <c r="EX78" s="99"/>
      <c r="EY78" s="99"/>
      <c r="EZ78" s="99"/>
      <c r="FA78" s="99"/>
      <c r="FB78" s="99"/>
      <c r="FC78" s="99"/>
      <c r="FD78" s="99"/>
      <c r="FE78" s="99"/>
      <c r="FF78" s="99"/>
      <c r="FG78" s="99"/>
      <c r="FH78" s="99"/>
      <c r="FI78" s="99"/>
      <c r="FJ78" s="99"/>
      <c r="FK78" s="99"/>
      <c r="FL78" s="99"/>
      <c r="FM78" s="99"/>
      <c r="FN78" s="99"/>
      <c r="FO78" s="25" t="str">
        <f t="shared" si="49"/>
        <v>Forecast function3</v>
      </c>
    </row>
    <row r="79" spans="1:171">
      <c r="A79" s="146"/>
      <c r="B79" s="115"/>
      <c r="C79" s="115"/>
      <c r="D79" s="115"/>
      <c r="E79" s="115">
        <f t="shared" si="54"/>
        <v>11</v>
      </c>
      <c r="F79" s="131"/>
      <c r="G79" s="39" t="s">
        <v>46</v>
      </c>
      <c r="H79" s="40">
        <v>4</v>
      </c>
      <c r="I79" s="41">
        <v>400.44400000000007</v>
      </c>
      <c r="J79" s="41">
        <v>2589.7540000000013</v>
      </c>
      <c r="K79" s="41">
        <v>1336.3789999999999</v>
      </c>
      <c r="L79" s="41">
        <v>1186.7760000000001</v>
      </c>
      <c r="M79" s="41">
        <v>839.32799999999986</v>
      </c>
      <c r="N79" s="41">
        <v>2024.5600000000004</v>
      </c>
      <c r="O79" s="41">
        <v>1502.1150000000002</v>
      </c>
      <c r="P79" s="41">
        <v>1294.5919999999994</v>
      </c>
      <c r="Q79" s="41">
        <v>1067.4629999999997</v>
      </c>
      <c r="R79" s="41">
        <v>2076.5049999999987</v>
      </c>
      <c r="S79" s="41">
        <v>2051.2060000000006</v>
      </c>
      <c r="T79" s="41">
        <v>1039.9769999999999</v>
      </c>
      <c r="U79" s="41">
        <v>922.57100000000003</v>
      </c>
      <c r="V79" s="41">
        <v>380.83800000000002</v>
      </c>
      <c r="W79" s="41">
        <v>2476.893</v>
      </c>
      <c r="X79" s="41">
        <v>453.2119999999997</v>
      </c>
      <c r="Y79" s="41">
        <v>2092.7499999999995</v>
      </c>
      <c r="Z79" s="41">
        <v>823.12700000000018</v>
      </c>
      <c r="AA79" s="41">
        <v>1106.48</v>
      </c>
      <c r="AB79" s="41">
        <v>864.59699999999987</v>
      </c>
      <c r="AC79" s="41">
        <v>1086.4360000000004</v>
      </c>
      <c r="AD79" s="41">
        <v>1891.8890000000001</v>
      </c>
      <c r="AE79" s="150">
        <f t="shared" si="55"/>
        <v>1222.7175842355848</v>
      </c>
      <c r="AF79" s="150">
        <f t="shared" si="55"/>
        <v>1539.543589270266</v>
      </c>
      <c r="AG79" s="150">
        <f t="shared" si="55"/>
        <v>793.47848949861589</v>
      </c>
      <c r="AH79" s="150">
        <f t="shared" si="55"/>
        <v>2428.880829552686</v>
      </c>
      <c r="AI79" s="150">
        <f t="shared" si="55"/>
        <v>782.85824807878976</v>
      </c>
      <c r="AJ79" s="150">
        <f t="shared" si="55"/>
        <v>2207.3484374977957</v>
      </c>
      <c r="AK79" s="150">
        <f t="shared" si="55"/>
        <v>1253.0996504186367</v>
      </c>
      <c r="AL79" s="150">
        <f t="shared" si="55"/>
        <v>1293.5819796321682</v>
      </c>
      <c r="AM79" s="150">
        <f t="shared" si="55"/>
        <v>1064.8846265955383</v>
      </c>
      <c r="AN79" s="150">
        <f t="shared" si="55"/>
        <v>1647.5009728559496</v>
      </c>
      <c r="AO79" s="150">
        <f t="shared" si="56"/>
        <v>2027.7818807522422</v>
      </c>
      <c r="AP79" s="150">
        <f t="shared" si="56"/>
        <v>948.64449796926419</v>
      </c>
      <c r="AQ79" s="150">
        <f t="shared" si="56"/>
        <v>1265.4705030039454</v>
      </c>
      <c r="AR79" s="150">
        <f t="shared" si="56"/>
        <v>519.40540323229527</v>
      </c>
      <c r="AS79" s="150">
        <f t="shared" si="56"/>
        <v>2154.8077432863656</v>
      </c>
      <c r="AT79" s="150">
        <f t="shared" si="56"/>
        <v>508.78516181246937</v>
      </c>
      <c r="AU79" s="150">
        <f t="shared" si="56"/>
        <v>1933.2753512314753</v>
      </c>
      <c r="AV79" s="150">
        <f t="shared" si="56"/>
        <v>979.02656415231627</v>
      </c>
      <c r="AW79" s="150">
        <f t="shared" si="56"/>
        <v>1019.5088933658476</v>
      </c>
      <c r="AX79" s="150">
        <f t="shared" si="56"/>
        <v>790.81154032921768</v>
      </c>
      <c r="AY79" s="150">
        <f t="shared" si="56"/>
        <v>1373.427886589629</v>
      </c>
      <c r="AZ79" s="150">
        <f t="shared" si="56"/>
        <v>1753.7087944859218</v>
      </c>
      <c r="BA79" s="148">
        <f t="shared" si="56"/>
        <v>674.57141170294381</v>
      </c>
      <c r="BB79" s="148">
        <f t="shared" si="56"/>
        <v>991.39741673762489</v>
      </c>
      <c r="BC79" s="148">
        <f t="shared" si="56"/>
        <v>245.33231696597477</v>
      </c>
      <c r="BD79" s="45">
        <f t="shared" si="53"/>
        <v>676133.8473316353</v>
      </c>
      <c r="BE79" s="45">
        <f t="shared" si="53"/>
        <v>1102941.9068051192</v>
      </c>
      <c r="BF79" s="45">
        <f t="shared" si="53"/>
        <v>294740.9643026634</v>
      </c>
      <c r="BG79" s="45">
        <f t="shared" si="53"/>
        <v>1542824.4075981069</v>
      </c>
      <c r="BH79" s="45">
        <f t="shared" si="53"/>
        <v>3188.8328820430124</v>
      </c>
      <c r="BI79" s="45">
        <f t="shared" si="53"/>
        <v>33411.612882885405</v>
      </c>
      <c r="BJ79" s="45">
        <f t="shared" si="53"/>
        <v>62008.644327128713</v>
      </c>
      <c r="BK79" s="45">
        <f t="shared" si="53"/>
        <v>1.0201411434338781</v>
      </c>
      <c r="BL79" s="45">
        <f t="shared" si="51"/>
        <v>6.6480094128341012</v>
      </c>
      <c r="BM79" s="45">
        <f t="shared" si="51"/>
        <v>184044.45530581204</v>
      </c>
      <c r="BN79" s="45">
        <f t="shared" si="51"/>
        <v>548.6893625332068</v>
      </c>
      <c r="BO79" s="45">
        <f t="shared" si="51"/>
        <v>8341.6259271943345</v>
      </c>
      <c r="BP79" s="45">
        <f t="shared" si="51"/>
        <v>117580.06916035274</v>
      </c>
      <c r="BQ79" s="45">
        <f t="shared" si="29"/>
        <v>19200.925238541509</v>
      </c>
      <c r="BR79" s="45">
        <f t="shared" si="29"/>
        <v>103738.91259228777</v>
      </c>
      <c r="BS79" s="45">
        <f t="shared" si="29"/>
        <v>3088.3763138349364</v>
      </c>
      <c r="BT79" s="45">
        <f t="shared" si="28"/>
        <v>25432.163599844182</v>
      </c>
      <c r="BU79" s="45">
        <f t="shared" si="28"/>
        <v>24304.67410288212</v>
      </c>
      <c r="BV79" s="45">
        <f t="shared" si="28"/>
        <v>7563.9733891691112</v>
      </c>
      <c r="BW79" s="45">
        <f t="shared" si="28"/>
        <v>5444.2940588286247</v>
      </c>
      <c r="BX79" s="45">
        <f t="shared" si="28"/>
        <v>82364.342968274257</v>
      </c>
      <c r="BY79" s="45">
        <f t="shared" si="28"/>
        <v>19093.76919591293</v>
      </c>
      <c r="BZ79" s="92">
        <f t="shared" si="47"/>
        <v>442.92438075588262</v>
      </c>
      <c r="CA79" s="47">
        <f t="shared" si="48"/>
        <v>0.23411753055062035</v>
      </c>
      <c r="CB79" s="42">
        <f t="shared" si="17"/>
        <v>1</v>
      </c>
      <c r="CC79" s="42">
        <f t="shared" si="41"/>
        <v>2</v>
      </c>
      <c r="CD79" s="42">
        <f t="shared" si="41"/>
        <v>3</v>
      </c>
      <c r="CE79" s="42">
        <f t="shared" si="41"/>
        <v>4</v>
      </c>
      <c r="CF79" s="42">
        <f t="shared" si="41"/>
        <v>5</v>
      </c>
      <c r="CG79" s="42">
        <f t="shared" si="41"/>
        <v>6</v>
      </c>
      <c r="CH79" s="42">
        <f t="shared" si="41"/>
        <v>7</v>
      </c>
      <c r="CI79" s="42">
        <f t="shared" si="41"/>
        <v>8</v>
      </c>
      <c r="CJ79" s="42">
        <f t="shared" si="41"/>
        <v>9</v>
      </c>
      <c r="CK79" s="42">
        <f t="shared" si="41"/>
        <v>10</v>
      </c>
      <c r="CL79" s="42">
        <f t="shared" si="41"/>
        <v>11</v>
      </c>
      <c r="CM79" s="42">
        <f t="shared" si="41"/>
        <v>12</v>
      </c>
      <c r="CN79" s="42">
        <f t="shared" si="41"/>
        <v>13</v>
      </c>
      <c r="CO79" s="42">
        <f t="shared" si="41"/>
        <v>14</v>
      </c>
      <c r="CP79" s="42">
        <f t="shared" si="41"/>
        <v>15</v>
      </c>
      <c r="CQ79" s="42">
        <f t="shared" si="41"/>
        <v>16</v>
      </c>
      <c r="CR79" s="42">
        <f t="shared" si="41"/>
        <v>17</v>
      </c>
      <c r="CS79" s="42">
        <f t="shared" si="59"/>
        <v>18</v>
      </c>
      <c r="CT79" s="42">
        <f t="shared" si="59"/>
        <v>19</v>
      </c>
      <c r="CU79" s="42">
        <f t="shared" si="59"/>
        <v>20</v>
      </c>
      <c r="CV79" s="42">
        <f t="shared" si="59"/>
        <v>21</v>
      </c>
      <c r="CW79" s="42">
        <f t="shared" si="59"/>
        <v>22</v>
      </c>
      <c r="CX79" s="42">
        <f t="shared" si="59"/>
        <v>23</v>
      </c>
      <c r="CY79" s="42">
        <f t="shared" si="59"/>
        <v>24</v>
      </c>
      <c r="CZ79" s="42">
        <f t="shared" si="40"/>
        <v>25</v>
      </c>
      <c r="DA79" s="99">
        <f t="shared" si="57"/>
        <v>712.55201154610415</v>
      </c>
      <c r="DB79" s="99">
        <f t="shared" si="57"/>
        <v>712.55201154610415</v>
      </c>
      <c r="DC79" s="99">
        <f t="shared" si="57"/>
        <v>763.57807268360182</v>
      </c>
      <c r="DD79" s="99">
        <f t="shared" si="57"/>
        <v>760.27959480270158</v>
      </c>
      <c r="DE79" s="99">
        <f t="shared" si="57"/>
        <v>1031.4378698619444</v>
      </c>
      <c r="DF79" s="99">
        <f t="shared" si="57"/>
        <v>845.72213881702692</v>
      </c>
      <c r="DG79" s="99">
        <f t="shared" si="57"/>
        <v>784.41018823612978</v>
      </c>
      <c r="DH79" s="99">
        <f t="shared" si="57"/>
        <v>842.81546636352607</v>
      </c>
      <c r="DI79" s="99">
        <f t="shared" si="57"/>
        <v>716.66978315361598</v>
      </c>
      <c r="DJ79" s="99">
        <f t="shared" si="57"/>
        <v>818.20697110491847</v>
      </c>
      <c r="DK79" s="99">
        <f t="shared" si="58"/>
        <v>300.44531496834765</v>
      </c>
      <c r="DL79" s="99">
        <f t="shared" si="58"/>
        <v>541.53874895183594</v>
      </c>
      <c r="DM79" s="99">
        <f t="shared" si="58"/>
        <v>321.70181974507574</v>
      </c>
      <c r="DN79" s="99">
        <f t="shared" si="58"/>
        <v>450.36309952271353</v>
      </c>
      <c r="DO79" s="99">
        <f t="shared" si="58"/>
        <v>777.73181556921759</v>
      </c>
      <c r="DP79" s="99">
        <f t="shared" si="58"/>
        <v>777.73181556921759</v>
      </c>
      <c r="DQ79" s="99">
        <f t="shared" si="58"/>
        <v>777.73181556921759</v>
      </c>
      <c r="DR79" s="99">
        <f t="shared" si="58"/>
        <v>777.73181556921759</v>
      </c>
      <c r="DS79" s="99">
        <f t="shared" si="58"/>
        <v>777.73181556921759</v>
      </c>
      <c r="DT79" s="99"/>
      <c r="DU79" s="99"/>
      <c r="DV79" s="99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1"/>
      <c r="ES79" s="100"/>
      <c r="ET79" s="99"/>
      <c r="EU79" s="99"/>
      <c r="EV79" s="99"/>
      <c r="EW79" s="99"/>
      <c r="EX79" s="99"/>
      <c r="EY79" s="99"/>
      <c r="EZ79" s="99"/>
      <c r="FA79" s="99"/>
      <c r="FB79" s="99"/>
      <c r="FC79" s="99"/>
      <c r="FD79" s="99"/>
      <c r="FE79" s="99"/>
      <c r="FF79" s="99"/>
      <c r="FG79" s="99"/>
      <c r="FH79" s="99"/>
      <c r="FI79" s="99"/>
      <c r="FJ79" s="99"/>
      <c r="FK79" s="99"/>
      <c r="FL79" s="99"/>
      <c r="FM79" s="99"/>
      <c r="FN79" s="99"/>
      <c r="FO79" s="25" t="str">
        <f t="shared" si="49"/>
        <v>Forecast function4</v>
      </c>
    </row>
    <row r="80" spans="1:171">
      <c r="A80" s="146"/>
      <c r="B80" s="115"/>
      <c r="C80" s="115"/>
      <c r="D80" s="115"/>
      <c r="E80" s="115">
        <f t="shared" si="54"/>
        <v>12</v>
      </c>
      <c r="F80" s="124"/>
      <c r="G80" s="39" t="s">
        <v>46</v>
      </c>
      <c r="H80" s="40">
        <v>5</v>
      </c>
      <c r="I80" s="41">
        <v>590.74400000000014</v>
      </c>
      <c r="J80" s="41">
        <v>126.19599999999998</v>
      </c>
      <c r="K80" s="41">
        <v>73.710000000000008</v>
      </c>
      <c r="L80" s="41">
        <v>245.74300000000002</v>
      </c>
      <c r="M80" s="41">
        <v>257</v>
      </c>
      <c r="N80" s="41">
        <v>246</v>
      </c>
      <c r="O80" s="41">
        <v>142</v>
      </c>
      <c r="P80" s="41">
        <v>141</v>
      </c>
      <c r="Q80" s="41">
        <v>140</v>
      </c>
      <c r="R80" s="41">
        <v>269</v>
      </c>
      <c r="S80" s="41">
        <v>255</v>
      </c>
      <c r="T80" s="41">
        <v>268</v>
      </c>
      <c r="U80" s="41">
        <v>148</v>
      </c>
      <c r="V80" s="41">
        <v>141</v>
      </c>
      <c r="W80" s="41">
        <v>130</v>
      </c>
      <c r="X80" s="41">
        <v>256</v>
      </c>
      <c r="Y80" s="41">
        <v>263</v>
      </c>
      <c r="Z80" s="41">
        <v>278</v>
      </c>
      <c r="AA80" s="41">
        <v>133</v>
      </c>
      <c r="AB80" s="41">
        <v>133</v>
      </c>
      <c r="AC80" s="41">
        <v>148</v>
      </c>
      <c r="AD80" s="41">
        <v>273</v>
      </c>
      <c r="AE80" s="150">
        <f t="shared" si="55"/>
        <v>212.89522009695588</v>
      </c>
      <c r="AF80" s="150">
        <f t="shared" si="55"/>
        <v>164.35905403040971</v>
      </c>
      <c r="AG80" s="150">
        <f t="shared" si="55"/>
        <v>181.61658250998016</v>
      </c>
      <c r="AH80" s="150">
        <f t="shared" si="55"/>
        <v>320.82594340168703</v>
      </c>
      <c r="AI80" s="150">
        <f t="shared" si="55"/>
        <v>325.81377449653462</v>
      </c>
      <c r="AJ80" s="150">
        <f t="shared" si="55"/>
        <v>312.85246072884587</v>
      </c>
      <c r="AK80" s="150">
        <f t="shared" si="55"/>
        <v>177.2922902243705</v>
      </c>
      <c r="AL80" s="150">
        <f t="shared" si="55"/>
        <v>175.35727856229551</v>
      </c>
      <c r="AM80" s="150">
        <f t="shared" si="55"/>
        <v>182.82713022728458</v>
      </c>
      <c r="AN80" s="150">
        <f t="shared" si="55"/>
        <v>309.76291943835935</v>
      </c>
      <c r="AO80" s="150">
        <f t="shared" si="56"/>
        <v>281.66493417706988</v>
      </c>
      <c r="AP80" s="150">
        <f t="shared" si="56"/>
        <v>296.64534414394882</v>
      </c>
      <c r="AQ80" s="150">
        <f t="shared" si="56"/>
        <v>176.13444223901371</v>
      </c>
      <c r="AR80" s="150">
        <f t="shared" si="56"/>
        <v>127.59827617246752</v>
      </c>
      <c r="AS80" s="150">
        <f t="shared" si="56"/>
        <v>144.85580465203799</v>
      </c>
      <c r="AT80" s="150">
        <f t="shared" si="56"/>
        <v>284.06516554374491</v>
      </c>
      <c r="AU80" s="150">
        <f t="shared" si="56"/>
        <v>289.0529966385925</v>
      </c>
      <c r="AV80" s="150">
        <f t="shared" si="56"/>
        <v>276.0916828709037</v>
      </c>
      <c r="AW80" s="150">
        <f t="shared" si="56"/>
        <v>140.53151236642833</v>
      </c>
      <c r="AX80" s="150">
        <f t="shared" si="56"/>
        <v>138.59650070435333</v>
      </c>
      <c r="AY80" s="150">
        <f t="shared" si="56"/>
        <v>146.06635236934241</v>
      </c>
      <c r="AZ80" s="150">
        <f t="shared" si="56"/>
        <v>273.00214158041717</v>
      </c>
      <c r="BA80" s="148">
        <f t="shared" si="56"/>
        <v>244.90415631912771</v>
      </c>
      <c r="BB80" s="148">
        <f t="shared" si="56"/>
        <v>259.88456628600659</v>
      </c>
      <c r="BC80" s="148">
        <f t="shared" si="56"/>
        <v>139.37366438107153</v>
      </c>
      <c r="BD80" s="45">
        <f t="shared" si="53"/>
        <v>142769.70047421919</v>
      </c>
      <c r="BE80" s="45">
        <f t="shared" si="53"/>
        <v>1456.418692927972</v>
      </c>
      <c r="BF80" s="45">
        <f t="shared" si="53"/>
        <v>11643.830548983155</v>
      </c>
      <c r="BG80" s="45">
        <f t="shared" si="53"/>
        <v>5637.4483898609342</v>
      </c>
      <c r="BH80" s="45">
        <f t="shared" si="53"/>
        <v>4735.3355604599183</v>
      </c>
      <c r="BI80" s="45">
        <f t="shared" si="53"/>
        <v>4469.2515055018794</v>
      </c>
      <c r="BJ80" s="45">
        <f t="shared" si="53"/>
        <v>1245.5457492811979</v>
      </c>
      <c r="BK80" s="45">
        <f t="shared" si="53"/>
        <v>1180.4225902071703</v>
      </c>
      <c r="BL80" s="45">
        <f t="shared" si="51"/>
        <v>1834.1630835047929</v>
      </c>
      <c r="BM80" s="45">
        <f t="shared" si="51"/>
        <v>1661.6156011381743</v>
      </c>
      <c r="BN80" s="45">
        <f t="shared" si="51"/>
        <v>711.01871466746945</v>
      </c>
      <c r="BO80" s="45">
        <f t="shared" si="51"/>
        <v>820.5557411252629</v>
      </c>
      <c r="BP80" s="45">
        <f t="shared" si="51"/>
        <v>791.54684010039864</v>
      </c>
      <c r="BQ80" s="45">
        <f t="shared" si="29"/>
        <v>179.60620154945178</v>
      </c>
      <c r="BR80" s="45">
        <f t="shared" si="29"/>
        <v>220.69493185951356</v>
      </c>
      <c r="BS80" s="45">
        <f t="shared" si="29"/>
        <v>787.65351699780661</v>
      </c>
      <c r="BT80" s="45">
        <f t="shared" si="28"/>
        <v>678.7586338505123</v>
      </c>
      <c r="BU80" s="45">
        <f t="shared" si="28"/>
        <v>3.6416742652023588</v>
      </c>
      <c r="BV80" s="45">
        <f t="shared" si="28"/>
        <v>56.723678525662869</v>
      </c>
      <c r="BW80" s="45">
        <f t="shared" si="28"/>
        <v>31.32082013382734</v>
      </c>
      <c r="BX80" s="45">
        <f t="shared" si="28"/>
        <v>3.7389931595477073</v>
      </c>
      <c r="BY80" s="45">
        <f t="shared" si="28"/>
        <v>4.5863666832224243E-6</v>
      </c>
      <c r="BZ80" s="92">
        <f t="shared" si="47"/>
        <v>90.684014815408091</v>
      </c>
      <c r="CA80" s="47">
        <f t="shared" si="48"/>
        <v>0.3321758784447183</v>
      </c>
      <c r="CB80" s="42">
        <f t="shared" si="17"/>
        <v>1</v>
      </c>
      <c r="CC80" s="42">
        <f t="shared" si="41"/>
        <v>2</v>
      </c>
      <c r="CD80" s="42">
        <f t="shared" si="41"/>
        <v>3</v>
      </c>
      <c r="CE80" s="42">
        <f t="shared" si="41"/>
        <v>4</v>
      </c>
      <c r="CF80" s="42">
        <f t="shared" si="41"/>
        <v>5</v>
      </c>
      <c r="CG80" s="42">
        <f t="shared" si="41"/>
        <v>6</v>
      </c>
      <c r="CH80" s="42">
        <f t="shared" si="41"/>
        <v>7</v>
      </c>
      <c r="CI80" s="42">
        <f t="shared" si="41"/>
        <v>8</v>
      </c>
      <c r="CJ80" s="42">
        <f t="shared" si="41"/>
        <v>9</v>
      </c>
      <c r="CK80" s="42">
        <f t="shared" si="41"/>
        <v>10</v>
      </c>
      <c r="CL80" s="42">
        <f t="shared" si="41"/>
        <v>11</v>
      </c>
      <c r="CM80" s="42">
        <f t="shared" si="41"/>
        <v>12</v>
      </c>
      <c r="CN80" s="42">
        <f t="shared" si="41"/>
        <v>13</v>
      </c>
      <c r="CO80" s="42">
        <f t="shared" si="41"/>
        <v>14</v>
      </c>
      <c r="CP80" s="42">
        <f t="shared" ref="CP80:CR84" si="60">IF(CO80&lt;&gt;"",CO80+1,IF(W80=0,"",1))</f>
        <v>15</v>
      </c>
      <c r="CQ80" s="42">
        <f t="shared" si="60"/>
        <v>16</v>
      </c>
      <c r="CR80" s="42">
        <f t="shared" si="60"/>
        <v>17</v>
      </c>
      <c r="CS80" s="42">
        <f t="shared" si="59"/>
        <v>18</v>
      </c>
      <c r="CT80" s="42">
        <f t="shared" si="59"/>
        <v>19</v>
      </c>
      <c r="CU80" s="42">
        <f t="shared" si="59"/>
        <v>20</v>
      </c>
      <c r="CV80" s="42">
        <f t="shared" si="59"/>
        <v>21</v>
      </c>
      <c r="CW80" s="42">
        <f t="shared" si="59"/>
        <v>22</v>
      </c>
      <c r="CX80" s="42">
        <f t="shared" si="59"/>
        <v>23</v>
      </c>
      <c r="CY80" s="42">
        <f t="shared" si="59"/>
        <v>24</v>
      </c>
      <c r="CZ80" s="42">
        <f t="shared" si="40"/>
        <v>25</v>
      </c>
      <c r="DA80" s="99">
        <f t="shared" si="57"/>
        <v>123.12097039319443</v>
      </c>
      <c r="DB80" s="99">
        <f t="shared" si="57"/>
        <v>77.226071738580472</v>
      </c>
      <c r="DC80" s="99">
        <f t="shared" si="57"/>
        <v>105.48636811786614</v>
      </c>
      <c r="DD80" s="99">
        <f t="shared" si="57"/>
        <v>73.603261120993267</v>
      </c>
      <c r="DE80" s="99">
        <f t="shared" si="57"/>
        <v>123.12097039319443</v>
      </c>
      <c r="DF80" s="99">
        <f t="shared" si="57"/>
        <v>28.792028434902456</v>
      </c>
      <c r="DG80" s="99">
        <f t="shared" si="57"/>
        <v>99.128883156972023</v>
      </c>
      <c r="DH80" s="99">
        <f t="shared" si="57"/>
        <v>106.93230826908736</v>
      </c>
      <c r="DI80" s="99">
        <f t="shared" si="57"/>
        <v>115.49024145827745</v>
      </c>
      <c r="DJ80" s="99">
        <f t="shared" si="57"/>
        <v>76.882329440829309</v>
      </c>
      <c r="DK80" s="99">
        <f t="shared" si="58"/>
        <v>66.577997590726795</v>
      </c>
      <c r="DL80" s="99">
        <f t="shared" si="58"/>
        <v>17.158945498004549</v>
      </c>
      <c r="DM80" s="99">
        <f t="shared" si="58"/>
        <v>44.75827636433425</v>
      </c>
      <c r="DN80" s="99">
        <f t="shared" si="58"/>
        <v>75.026802332095315</v>
      </c>
      <c r="DO80" s="99">
        <f t="shared" si="58"/>
        <v>82.568155889694467</v>
      </c>
      <c r="DP80" s="99">
        <f t="shared" si="58"/>
        <v>82.568155889694467</v>
      </c>
      <c r="DQ80" s="99">
        <f t="shared" si="58"/>
        <v>82.568155889694467</v>
      </c>
      <c r="DR80" s="99">
        <f t="shared" si="58"/>
        <v>82.568155889694467</v>
      </c>
      <c r="DS80" s="99">
        <f t="shared" si="58"/>
        <v>82.568155889694467</v>
      </c>
      <c r="DT80" s="99"/>
      <c r="DU80" s="99"/>
      <c r="DV80" s="99"/>
      <c r="DW80" s="41"/>
      <c r="DX80" s="41"/>
      <c r="DY80" s="41"/>
      <c r="DZ80" s="41"/>
      <c r="EA80" s="41"/>
      <c r="EB80" s="41"/>
      <c r="EC80" s="41"/>
      <c r="ED80" s="41"/>
      <c r="EE80" s="41"/>
      <c r="EF80" s="41"/>
      <c r="EG80" s="41"/>
      <c r="EH80" s="41"/>
      <c r="EI80" s="41"/>
      <c r="EJ80" s="41"/>
      <c r="EK80" s="41"/>
      <c r="EL80" s="41"/>
      <c r="EM80" s="41"/>
      <c r="EN80" s="41"/>
      <c r="EO80" s="41"/>
      <c r="EP80" s="41"/>
      <c r="EQ80" s="41"/>
      <c r="ER80" s="41"/>
      <c r="ES80" s="100"/>
      <c r="ET80" s="99"/>
      <c r="EU80" s="99"/>
      <c r="EV80" s="99"/>
      <c r="EW80" s="99"/>
      <c r="EX80" s="99"/>
      <c r="EY80" s="99"/>
      <c r="EZ80" s="99"/>
      <c r="FA80" s="99"/>
      <c r="FB80" s="99"/>
      <c r="FC80" s="99"/>
      <c r="FD80" s="99"/>
      <c r="FE80" s="99"/>
      <c r="FF80" s="99"/>
      <c r="FG80" s="99"/>
      <c r="FH80" s="99"/>
      <c r="FI80" s="99"/>
      <c r="FJ80" s="99"/>
      <c r="FK80" s="99"/>
      <c r="FL80" s="99"/>
      <c r="FM80" s="99"/>
      <c r="FN80" s="99"/>
      <c r="FO80" s="25" t="str">
        <f t="shared" si="49"/>
        <v>Forecast function5</v>
      </c>
    </row>
    <row r="81" spans="1:171">
      <c r="A81" s="146"/>
      <c r="B81" s="115"/>
      <c r="C81" s="115"/>
      <c r="D81" s="115"/>
      <c r="E81" s="115">
        <f t="shared" si="54"/>
        <v>10</v>
      </c>
      <c r="F81" s="131"/>
      <c r="G81" s="39" t="s">
        <v>46</v>
      </c>
      <c r="H81" s="40">
        <v>6</v>
      </c>
      <c r="I81" s="41"/>
      <c r="J81" s="41"/>
      <c r="K81" s="41"/>
      <c r="L81" s="41"/>
      <c r="M81" s="41"/>
      <c r="N81" s="41"/>
      <c r="O81" s="41">
        <v>266.03799999999995</v>
      </c>
      <c r="P81" s="41">
        <v>232.57400000000007</v>
      </c>
      <c r="Q81" s="41">
        <v>115.23299999999999</v>
      </c>
      <c r="R81" s="41">
        <v>203.98799999999997</v>
      </c>
      <c r="S81" s="41">
        <v>180.53700000000001</v>
      </c>
      <c r="T81" s="41">
        <v>869.18299999999977</v>
      </c>
      <c r="U81" s="41">
        <v>1078.4489999999998</v>
      </c>
      <c r="V81" s="41">
        <v>1258.0669999999996</v>
      </c>
      <c r="W81" s="41">
        <v>1027.184</v>
      </c>
      <c r="X81" s="41">
        <v>624.39099999999996</v>
      </c>
      <c r="Y81" s="41">
        <v>1201.8340000000001</v>
      </c>
      <c r="Z81" s="41">
        <v>548.27800000000002</v>
      </c>
      <c r="AA81" s="41">
        <v>1219.8130000000006</v>
      </c>
      <c r="AB81" s="41">
        <v>393.93799999999987</v>
      </c>
      <c r="AC81" s="41">
        <v>240.81100000000015</v>
      </c>
      <c r="AD81" s="41">
        <v>1097.4179999999999</v>
      </c>
      <c r="AE81" s="150"/>
      <c r="AF81" s="150"/>
      <c r="AG81" s="150"/>
      <c r="AH81" s="150"/>
      <c r="AI81" s="150"/>
      <c r="AJ81" s="150"/>
      <c r="AK81" s="150">
        <f t="shared" ref="AK81:BC81" si="61">_xlfn.FORECAST.ETS(CH81,$O81:$AD81,$CH81:$CW81,$E81,0,1)</f>
        <v>800.05664447124082</v>
      </c>
      <c r="AL81" s="150">
        <f t="shared" si="61"/>
        <v>259.50366346311984</v>
      </c>
      <c r="AM81" s="150">
        <f t="shared" si="61"/>
        <v>761.57512729255973</v>
      </c>
      <c r="AN81" s="150">
        <f t="shared" si="61"/>
        <v>113.81424844201234</v>
      </c>
      <c r="AO81" s="150">
        <f t="shared" si="61"/>
        <v>25.655391833377848</v>
      </c>
      <c r="AP81" s="150">
        <f t="shared" si="61"/>
        <v>800.30263791447828</v>
      </c>
      <c r="AQ81" s="150">
        <f t="shared" si="61"/>
        <v>1016.0249794462519</v>
      </c>
      <c r="AR81" s="150">
        <f t="shared" si="61"/>
        <v>1200.6884433398995</v>
      </c>
      <c r="AS81" s="150">
        <f t="shared" si="61"/>
        <v>961.99475464856982</v>
      </c>
      <c r="AT81" s="150">
        <f t="shared" si="61"/>
        <v>528.45320651450618</v>
      </c>
      <c r="AU81" s="150">
        <f t="shared" si="61"/>
        <v>1100.8943167106931</v>
      </c>
      <c r="AV81" s="150">
        <f t="shared" si="61"/>
        <v>560.341335702572</v>
      </c>
      <c r="AW81" s="150">
        <f t="shared" si="61"/>
        <v>1062.4127995320118</v>
      </c>
      <c r="AX81" s="150">
        <f t="shared" si="61"/>
        <v>414.65192068146445</v>
      </c>
      <c r="AY81" s="150">
        <f t="shared" si="61"/>
        <v>326.49306407283007</v>
      </c>
      <c r="AZ81" s="150">
        <f t="shared" si="61"/>
        <v>1101.1403101539304</v>
      </c>
      <c r="BA81" s="148">
        <f t="shared" si="61"/>
        <v>1316.8626516857039</v>
      </c>
      <c r="BB81" s="148">
        <f t="shared" si="61"/>
        <v>1501.5261155793519</v>
      </c>
      <c r="BC81" s="148">
        <f t="shared" si="61"/>
        <v>1262.8324268880219</v>
      </c>
      <c r="BD81" s="45" t="str">
        <f t="shared" si="53"/>
        <v/>
      </c>
      <c r="BE81" s="45" t="str">
        <f t="shared" si="53"/>
        <v/>
      </c>
      <c r="BF81" s="45" t="str">
        <f t="shared" si="53"/>
        <v/>
      </c>
      <c r="BG81" s="45" t="str">
        <f t="shared" si="53"/>
        <v/>
      </c>
      <c r="BH81" s="45" t="str">
        <f t="shared" si="53"/>
        <v/>
      </c>
      <c r="BI81" s="45" t="str">
        <f t="shared" si="53"/>
        <v/>
      </c>
      <c r="BJ81" s="45">
        <f t="shared" si="53"/>
        <v>285175.91264290147</v>
      </c>
      <c r="BK81" s="45">
        <f t="shared" si="53"/>
        <v>725.20677423688767</v>
      </c>
      <c r="BL81" s="45">
        <f t="shared" si="51"/>
        <v>417758.14551307156</v>
      </c>
      <c r="BM81" s="45">
        <f t="shared" si="51"/>
        <v>8131.305470041676</v>
      </c>
      <c r="BN81" s="45">
        <f t="shared" si="51"/>
        <v>23988.312548279078</v>
      </c>
      <c r="BO81" s="45">
        <f t="shared" si="51"/>
        <v>4744.5042810325458</v>
      </c>
      <c r="BP81" s="45">
        <f t="shared" si="51"/>
        <v>3896.7583420947449</v>
      </c>
      <c r="BQ81" s="45">
        <f t="shared" si="29"/>
        <v>3292.2987643963065</v>
      </c>
      <c r="BR81" s="45">
        <f t="shared" si="29"/>
        <v>4249.6377094889567</v>
      </c>
      <c r="BS81" s="45">
        <f t="shared" si="29"/>
        <v>9204.0602188652538</v>
      </c>
      <c r="BT81" s="45">
        <f t="shared" si="28"/>
        <v>10188.819662545586</v>
      </c>
      <c r="BU81" s="45">
        <f t="shared" si="28"/>
        <v>145.52406827294772</v>
      </c>
      <c r="BV81" s="45">
        <f t="shared" si="28"/>
        <v>24774.823107363038</v>
      </c>
      <c r="BW81" s="45">
        <f t="shared" si="28"/>
        <v>429.0665099980057</v>
      </c>
      <c r="BX81" s="45">
        <f t="shared" si="28"/>
        <v>7341.4161037805316</v>
      </c>
      <c r="BY81" s="45">
        <f t="shared" si="28"/>
        <v>13.855592882054054</v>
      </c>
      <c r="BZ81" s="92">
        <f t="shared" si="47"/>
        <v>224.17343276318041</v>
      </c>
      <c r="CA81" s="47">
        <f t="shared" si="48"/>
        <v>0.20427351543639746</v>
      </c>
      <c r="CB81" s="42" t="str">
        <f t="shared" si="17"/>
        <v/>
      </c>
      <c r="CC81" s="42" t="str">
        <f t="shared" ref="CC81:CO84" si="62">IF(CB81&lt;&gt;"",CB81+1,IF(J81=0,"",1))</f>
        <v/>
      </c>
      <c r="CD81" s="42" t="str">
        <f t="shared" si="62"/>
        <v/>
      </c>
      <c r="CE81" s="42" t="str">
        <f t="shared" si="62"/>
        <v/>
      </c>
      <c r="CF81" s="42" t="str">
        <f t="shared" si="62"/>
        <v/>
      </c>
      <c r="CG81" s="42" t="str">
        <f t="shared" si="62"/>
        <v/>
      </c>
      <c r="CH81" s="42">
        <f t="shared" si="62"/>
        <v>1</v>
      </c>
      <c r="CI81" s="42">
        <f t="shared" si="62"/>
        <v>2</v>
      </c>
      <c r="CJ81" s="42">
        <f t="shared" si="62"/>
        <v>3</v>
      </c>
      <c r="CK81" s="42">
        <f t="shared" si="62"/>
        <v>4</v>
      </c>
      <c r="CL81" s="42">
        <f t="shared" si="62"/>
        <v>5</v>
      </c>
      <c r="CM81" s="42">
        <f t="shared" si="62"/>
        <v>6</v>
      </c>
      <c r="CN81" s="42">
        <f t="shared" si="62"/>
        <v>7</v>
      </c>
      <c r="CO81" s="42">
        <f t="shared" si="62"/>
        <v>8</v>
      </c>
      <c r="CP81" s="42">
        <f t="shared" si="60"/>
        <v>9</v>
      </c>
      <c r="CQ81" s="42">
        <f t="shared" si="60"/>
        <v>10</v>
      </c>
      <c r="CR81" s="42">
        <f t="shared" si="60"/>
        <v>11</v>
      </c>
      <c r="CS81" s="42">
        <f t="shared" si="59"/>
        <v>12</v>
      </c>
      <c r="CT81" s="42">
        <f t="shared" si="59"/>
        <v>13</v>
      </c>
      <c r="CU81" s="42">
        <f t="shared" si="59"/>
        <v>14</v>
      </c>
      <c r="CV81" s="42">
        <f t="shared" si="59"/>
        <v>15</v>
      </c>
      <c r="CW81" s="42">
        <f t="shared" si="59"/>
        <v>16</v>
      </c>
      <c r="CX81" s="42">
        <f t="shared" si="59"/>
        <v>17</v>
      </c>
      <c r="CY81" s="42">
        <f t="shared" si="59"/>
        <v>18</v>
      </c>
      <c r="CZ81" s="42">
        <f t="shared" si="40"/>
        <v>19</v>
      </c>
      <c r="DA81" s="99">
        <f t="shared" ref="DA81:DS81" si="63">_xlfn.FORECAST.ETS.STAT($O81:$AD81,$CH81:$CW81,7,CH81,0,1)</f>
        <v>623.50242010650265</v>
      </c>
      <c r="DB81" s="99">
        <f t="shared" si="63"/>
        <v>688.9233972652637</v>
      </c>
      <c r="DC81" s="99">
        <f t="shared" si="63"/>
        <v>707.53527399042252</v>
      </c>
      <c r="DD81" s="99">
        <f t="shared" si="63"/>
        <v>743.89998046023538</v>
      </c>
      <c r="DE81" s="99">
        <f t="shared" si="63"/>
        <v>504.52619811541263</v>
      </c>
      <c r="DF81" s="99">
        <f t="shared" si="63"/>
        <v>663.84118938621111</v>
      </c>
      <c r="DG81" s="99">
        <f t="shared" si="63"/>
        <v>620.1134208434321</v>
      </c>
      <c r="DH81" s="99">
        <f t="shared" si="63"/>
        <v>356.5925402714667</v>
      </c>
      <c r="DI81" s="99">
        <f t="shared" si="63"/>
        <v>293.26743118047204</v>
      </c>
      <c r="DJ81" s="99">
        <f t="shared" si="63"/>
        <v>121.91711843216102</v>
      </c>
      <c r="DK81" s="99">
        <f t="shared" si="63"/>
        <v>623.50242010650265</v>
      </c>
      <c r="DL81" s="99">
        <f t="shared" si="63"/>
        <v>623.50242010650265</v>
      </c>
      <c r="DM81" s="99">
        <f t="shared" si="63"/>
        <v>623.50242010650265</v>
      </c>
      <c r="DN81" s="99">
        <f t="shared" si="63"/>
        <v>623.50242010650265</v>
      </c>
      <c r="DO81" s="99">
        <f t="shared" si="63"/>
        <v>623.50242010650265</v>
      </c>
      <c r="DP81" s="99">
        <f t="shared" si="63"/>
        <v>623.50242010650265</v>
      </c>
      <c r="DQ81" s="99">
        <f t="shared" si="63"/>
        <v>623.50242010650265</v>
      </c>
      <c r="DR81" s="99">
        <f t="shared" si="63"/>
        <v>623.50242010650265</v>
      </c>
      <c r="DS81" s="99">
        <f t="shared" si="63"/>
        <v>623.50242010650265</v>
      </c>
      <c r="DT81" s="99"/>
      <c r="DU81" s="99"/>
      <c r="DV81" s="99"/>
      <c r="DW81" s="41"/>
      <c r="DX81" s="41"/>
      <c r="DY81" s="41"/>
      <c r="DZ81" s="41"/>
      <c r="EA81" s="41"/>
      <c r="EB81" s="41"/>
      <c r="EC81" s="41"/>
      <c r="ED81" s="41"/>
      <c r="EE81" s="41"/>
      <c r="EF81" s="41"/>
      <c r="EG81" s="41"/>
      <c r="EH81" s="41"/>
      <c r="EI81" s="41"/>
      <c r="EJ81" s="41"/>
      <c r="EK81" s="41"/>
      <c r="EL81" s="41"/>
      <c r="EM81" s="41"/>
      <c r="EN81" s="41"/>
      <c r="EO81" s="41"/>
      <c r="EP81" s="41"/>
      <c r="EQ81" s="41"/>
      <c r="ER81" s="41"/>
      <c r="ES81" s="100"/>
      <c r="ET81" s="99"/>
      <c r="EU81" s="99"/>
      <c r="EV81" s="99"/>
      <c r="EW81" s="99"/>
      <c r="EX81" s="99"/>
      <c r="EY81" s="99"/>
      <c r="EZ81" s="99"/>
      <c r="FA81" s="99"/>
      <c r="FB81" s="99"/>
      <c r="FC81" s="99"/>
      <c r="FD81" s="99"/>
      <c r="FE81" s="99"/>
      <c r="FF81" s="99"/>
      <c r="FG81" s="99"/>
      <c r="FH81" s="99"/>
      <c r="FI81" s="99"/>
      <c r="FJ81" s="99"/>
      <c r="FK81" s="99"/>
      <c r="FL81" s="99"/>
      <c r="FM81" s="99"/>
      <c r="FN81" s="99"/>
      <c r="FO81" s="25" t="str">
        <f t="shared" si="49"/>
        <v>Forecast function6</v>
      </c>
    </row>
    <row r="82" spans="1:171">
      <c r="A82" s="146"/>
      <c r="B82" s="115"/>
      <c r="C82" s="115"/>
      <c r="D82" s="115"/>
      <c r="E82" s="115">
        <f t="shared" si="54"/>
        <v>14</v>
      </c>
      <c r="F82" s="124"/>
      <c r="G82" s="39" t="s">
        <v>46</v>
      </c>
      <c r="H82" s="40">
        <v>7</v>
      </c>
      <c r="I82" s="41">
        <v>198</v>
      </c>
      <c r="J82" s="41">
        <v>186</v>
      </c>
      <c r="K82" s="41">
        <v>177.429</v>
      </c>
      <c r="L82" s="41">
        <v>157</v>
      </c>
      <c r="M82" s="41">
        <v>126.622</v>
      </c>
      <c r="N82" s="41">
        <v>177.429</v>
      </c>
      <c r="O82" s="41">
        <v>157</v>
      </c>
      <c r="P82" s="41">
        <v>126.622</v>
      </c>
      <c r="Q82" s="41">
        <v>177.429</v>
      </c>
      <c r="R82" s="41">
        <v>157</v>
      </c>
      <c r="S82" s="41">
        <v>126.622</v>
      </c>
      <c r="T82" s="41">
        <v>177.429</v>
      </c>
      <c r="U82" s="41">
        <v>157</v>
      </c>
      <c r="V82" s="41">
        <v>126.622</v>
      </c>
      <c r="W82" s="41">
        <v>128.38799999999998</v>
      </c>
      <c r="X82" s="41">
        <v>203.08599999999998</v>
      </c>
      <c r="Y82" s="41">
        <v>177.429</v>
      </c>
      <c r="Z82" s="41">
        <v>157</v>
      </c>
      <c r="AA82" s="41">
        <v>126.622</v>
      </c>
      <c r="AB82" s="41">
        <v>165</v>
      </c>
      <c r="AC82" s="41">
        <v>121.236</v>
      </c>
      <c r="AD82" s="41">
        <v>127.90299999999999</v>
      </c>
      <c r="AE82" s="150">
        <f t="shared" ref="AE82:AT84" si="64">_xlfn.FORECAST.ETS(CB82,$I82:$AD82,$CB82:$CW82,$E82,0,1)</f>
        <v>140.2108584000585</v>
      </c>
      <c r="AF82" s="150">
        <f t="shared" si="64"/>
        <v>198.64218432553756</v>
      </c>
      <c r="AG82" s="150">
        <f t="shared" si="64"/>
        <v>184.25168610351596</v>
      </c>
      <c r="AH82" s="150">
        <f t="shared" si="64"/>
        <v>167.21758316825913</v>
      </c>
      <c r="AI82" s="150">
        <f t="shared" si="64"/>
        <v>137.79750311423101</v>
      </c>
      <c r="AJ82" s="150">
        <f t="shared" si="64"/>
        <v>178.72654223686274</v>
      </c>
      <c r="AK82" s="150">
        <f t="shared" si="64"/>
        <v>146.25541997131143</v>
      </c>
      <c r="AL82" s="150">
        <f t="shared" si="64"/>
        <v>135.97914761187116</v>
      </c>
      <c r="AM82" s="150">
        <f t="shared" si="64"/>
        <v>180.95974163011243</v>
      </c>
      <c r="AN82" s="150">
        <f t="shared" si="64"/>
        <v>160.52477382278252</v>
      </c>
      <c r="AO82" s="150">
        <f t="shared" si="64"/>
        <v>130.1870464848281</v>
      </c>
      <c r="AP82" s="150">
        <f t="shared" si="64"/>
        <v>181.04589468257382</v>
      </c>
      <c r="AQ82" s="150">
        <f t="shared" si="64"/>
        <v>160.50495883920814</v>
      </c>
      <c r="AR82" s="150">
        <f t="shared" si="64"/>
        <v>130.34525202314066</v>
      </c>
      <c r="AS82" s="150">
        <f t="shared" si="64"/>
        <v>132.11213980050769</v>
      </c>
      <c r="AT82" s="150">
        <f t="shared" si="64"/>
        <v>190.54346572598678</v>
      </c>
      <c r="AU82" s="150">
        <f t="shared" ref="AO82:BC84" si="65">_xlfn.FORECAST.ETS(CR82,$I82:$AD82,$CB82:$CW82,$E82,0,1)</f>
        <v>176.15296750396516</v>
      </c>
      <c r="AV82" s="150">
        <f t="shared" si="65"/>
        <v>159.11886456870832</v>
      </c>
      <c r="AW82" s="150">
        <f t="shared" si="65"/>
        <v>129.6987845146802</v>
      </c>
      <c r="AX82" s="150">
        <f t="shared" si="65"/>
        <v>170.62782363731193</v>
      </c>
      <c r="AY82" s="150">
        <f t="shared" si="65"/>
        <v>138.15670137176062</v>
      </c>
      <c r="AZ82" s="150">
        <f t="shared" si="65"/>
        <v>127.88042901232036</v>
      </c>
      <c r="BA82" s="148">
        <f t="shared" si="65"/>
        <v>172.86102303056163</v>
      </c>
      <c r="BB82" s="148">
        <f t="shared" si="65"/>
        <v>152.42605522323171</v>
      </c>
      <c r="BC82" s="148">
        <f t="shared" si="65"/>
        <v>122.08832788527728</v>
      </c>
      <c r="BD82" s="45">
        <f t="shared" si="53"/>
        <v>3339.5848868580892</v>
      </c>
      <c r="BE82" s="45">
        <f t="shared" si="53"/>
        <v>159.82482452086748</v>
      </c>
      <c r="BF82" s="45">
        <f t="shared" si="53"/>
        <v>46.54904566710983</v>
      </c>
      <c r="BG82" s="45">
        <f t="shared" si="53"/>
        <v>104.39900580029219</v>
      </c>
      <c r="BH82" s="45">
        <f t="shared" si="53"/>
        <v>124.89186985618691</v>
      </c>
      <c r="BI82" s="45">
        <f t="shared" si="53"/>
        <v>1.6836158564427608</v>
      </c>
      <c r="BJ82" s="45">
        <f t="shared" si="53"/>
        <v>115.44599999289336</v>
      </c>
      <c r="BK82" s="45">
        <f t="shared" si="53"/>
        <v>87.556211430346082</v>
      </c>
      <c r="BL82" s="45">
        <f t="shared" si="51"/>
        <v>12.466136458608984</v>
      </c>
      <c r="BM82" s="45">
        <f t="shared" si="51"/>
        <v>12.424030501772906</v>
      </c>
      <c r="BN82" s="45">
        <f t="shared" si="51"/>
        <v>12.709556438985205</v>
      </c>
      <c r="BO82" s="45">
        <f t="shared" si="51"/>
        <v>13.081927144830736</v>
      </c>
      <c r="BP82" s="45">
        <f t="shared" si="51"/>
        <v>12.284736464543295</v>
      </c>
      <c r="BQ82" s="45">
        <f t="shared" si="29"/>
        <v>13.862605627821015</v>
      </c>
      <c r="BR82" s="45">
        <f t="shared" si="29"/>
        <v>13.869217253725639</v>
      </c>
      <c r="BS82" s="45">
        <f t="shared" si="29"/>
        <v>157.31516601479601</v>
      </c>
      <c r="BT82" s="45">
        <f t="shared" si="28"/>
        <v>1.6282589309369144</v>
      </c>
      <c r="BU82" s="45">
        <f t="shared" si="28"/>
        <v>4.4895870605274864</v>
      </c>
      <c r="BV82" s="45">
        <f t="shared" si="28"/>
        <v>9.4666029497758668</v>
      </c>
      <c r="BW82" s="45">
        <f t="shared" si="28"/>
        <v>31.672398892686928</v>
      </c>
      <c r="BX82" s="45">
        <f t="shared" si="28"/>
        <v>286.31013491230152</v>
      </c>
      <c r="BY82" s="45">
        <f t="shared" si="28"/>
        <v>5.0944948483395188E-4</v>
      </c>
      <c r="BZ82" s="92">
        <f t="shared" si="47"/>
        <v>14.399362877450557</v>
      </c>
      <c r="CA82" s="47">
        <f t="shared" si="48"/>
        <v>0.11258033726691757</v>
      </c>
      <c r="CB82" s="42">
        <f t="shared" si="17"/>
        <v>1</v>
      </c>
      <c r="CC82" s="42">
        <f t="shared" si="62"/>
        <v>2</v>
      </c>
      <c r="CD82" s="42">
        <f t="shared" si="62"/>
        <v>3</v>
      </c>
      <c r="CE82" s="42">
        <f t="shared" si="62"/>
        <v>4</v>
      </c>
      <c r="CF82" s="42">
        <f t="shared" si="62"/>
        <v>5</v>
      </c>
      <c r="CG82" s="42">
        <f t="shared" si="62"/>
        <v>6</v>
      </c>
      <c r="CH82" s="42">
        <f t="shared" si="62"/>
        <v>7</v>
      </c>
      <c r="CI82" s="42">
        <f t="shared" si="62"/>
        <v>8</v>
      </c>
      <c r="CJ82" s="42">
        <f t="shared" si="62"/>
        <v>9</v>
      </c>
      <c r="CK82" s="42">
        <f t="shared" si="62"/>
        <v>10</v>
      </c>
      <c r="CL82" s="42">
        <f t="shared" si="62"/>
        <v>11</v>
      </c>
      <c r="CM82" s="42">
        <f t="shared" si="62"/>
        <v>12</v>
      </c>
      <c r="CN82" s="42">
        <f t="shared" si="62"/>
        <v>13</v>
      </c>
      <c r="CO82" s="42">
        <f t="shared" si="62"/>
        <v>14</v>
      </c>
      <c r="CP82" s="42">
        <f t="shared" si="60"/>
        <v>15</v>
      </c>
      <c r="CQ82" s="42">
        <f t="shared" si="60"/>
        <v>16</v>
      </c>
      <c r="CR82" s="42">
        <f t="shared" si="60"/>
        <v>17</v>
      </c>
      <c r="CS82" s="42">
        <f t="shared" si="59"/>
        <v>18</v>
      </c>
      <c r="CT82" s="42">
        <f t="shared" si="59"/>
        <v>19</v>
      </c>
      <c r="CU82" s="42">
        <f t="shared" si="59"/>
        <v>20</v>
      </c>
      <c r="CV82" s="42">
        <f t="shared" si="59"/>
        <v>21</v>
      </c>
      <c r="CW82" s="42">
        <f t="shared" si="59"/>
        <v>22</v>
      </c>
      <c r="CX82" s="42">
        <f t="shared" si="59"/>
        <v>23</v>
      </c>
      <c r="CY82" s="42">
        <f t="shared" si="59"/>
        <v>24</v>
      </c>
      <c r="CZ82" s="42">
        <f t="shared" si="40"/>
        <v>25</v>
      </c>
      <c r="DA82" s="99">
        <f t="shared" ref="DA82:DP84" si="66">_xlfn.FORECAST.ETS.STAT($I82:$AD82,$CB82:$CW82,7,CB82,0,1)</f>
        <v>30.014409575680371</v>
      </c>
      <c r="DB82" s="99">
        <f t="shared" si="66"/>
        <v>27.780714002866429</v>
      </c>
      <c r="DC82" s="99">
        <f t="shared" si="66"/>
        <v>43.197080550182619</v>
      </c>
      <c r="DD82" s="99">
        <f t="shared" si="66"/>
        <v>31.610173506476531</v>
      </c>
      <c r="DE82" s="99">
        <f t="shared" si="66"/>
        <v>33.330196376480487</v>
      </c>
      <c r="DF82" s="99">
        <f t="shared" si="66"/>
        <v>55.925895820673531</v>
      </c>
      <c r="DG82" s="99">
        <f t="shared" si="66"/>
        <v>25.460041601629733</v>
      </c>
      <c r="DH82" s="99">
        <f t="shared" si="66"/>
        <v>29.691049090163581</v>
      </c>
      <c r="DI82" s="99">
        <f t="shared" si="66"/>
        <v>34.647524066963683</v>
      </c>
      <c r="DJ82" s="99">
        <f t="shared" si="66"/>
        <v>22.802075960277609</v>
      </c>
      <c r="DK82" s="99">
        <f t="shared" si="66"/>
        <v>16.961366774195863</v>
      </c>
      <c r="DL82" s="99">
        <f t="shared" si="66"/>
        <v>21.353406965927817</v>
      </c>
      <c r="DM82" s="99">
        <f t="shared" si="66"/>
        <v>18.378523055668477</v>
      </c>
      <c r="DN82" s="99">
        <f t="shared" si="66"/>
        <v>13.525371351213025</v>
      </c>
      <c r="DO82" s="99">
        <f t="shared" si="66"/>
        <v>30.014409575680371</v>
      </c>
      <c r="DP82" s="99">
        <f t="shared" si="66"/>
        <v>30.014409575680371</v>
      </c>
      <c r="DQ82" s="99">
        <f t="shared" ref="DK82:DS84" si="67">_xlfn.FORECAST.ETS.STAT($I82:$AD82,$CB82:$CW82,7,CR82,0,1)</f>
        <v>30.014409575680371</v>
      </c>
      <c r="DR82" s="99">
        <f t="shared" si="67"/>
        <v>30.014409575680371</v>
      </c>
      <c r="DS82" s="99">
        <f t="shared" si="67"/>
        <v>30.014409575680371</v>
      </c>
      <c r="DT82" s="99"/>
      <c r="DU82" s="99"/>
      <c r="DV82" s="99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100"/>
      <c r="ET82" s="99"/>
      <c r="EU82" s="99"/>
      <c r="EV82" s="99"/>
      <c r="EW82" s="99"/>
      <c r="EX82" s="99"/>
      <c r="EY82" s="99"/>
      <c r="EZ82" s="99"/>
      <c r="FA82" s="99"/>
      <c r="FB82" s="99"/>
      <c r="FC82" s="99"/>
      <c r="FD82" s="99"/>
      <c r="FE82" s="99"/>
      <c r="FF82" s="99"/>
      <c r="FG82" s="99"/>
      <c r="FH82" s="99"/>
      <c r="FI82" s="99"/>
      <c r="FJ82" s="99"/>
      <c r="FK82" s="99"/>
      <c r="FL82" s="99"/>
      <c r="FM82" s="99"/>
      <c r="FN82" s="99"/>
      <c r="FO82" s="25" t="str">
        <f t="shared" si="49"/>
        <v>Forecast function7</v>
      </c>
    </row>
    <row r="83" spans="1:171">
      <c r="A83" s="146"/>
      <c r="B83" s="115"/>
      <c r="C83" s="115"/>
      <c r="D83" s="115"/>
      <c r="E83" s="115">
        <f t="shared" si="54"/>
        <v>1</v>
      </c>
      <c r="F83" s="131"/>
      <c r="G83" s="39" t="s">
        <v>46</v>
      </c>
      <c r="H83" s="40">
        <v>8</v>
      </c>
      <c r="I83" s="41">
        <v>6.597999999999999</v>
      </c>
      <c r="J83" s="41">
        <v>14.509</v>
      </c>
      <c r="K83" s="41">
        <v>34</v>
      </c>
      <c r="L83" s="41">
        <v>36.616999999999976</v>
      </c>
      <c r="M83" s="41">
        <v>48.298000000000044</v>
      </c>
      <c r="N83" s="41">
        <v>50.913000000000054</v>
      </c>
      <c r="O83" s="41">
        <v>169.95999999999992</v>
      </c>
      <c r="P83" s="41">
        <v>158.32199999999997</v>
      </c>
      <c r="Q83" s="41">
        <v>169.77099999999999</v>
      </c>
      <c r="R83" s="41">
        <v>180</v>
      </c>
      <c r="S83" s="41">
        <v>127</v>
      </c>
      <c r="T83" s="41">
        <v>143.11099999999993</v>
      </c>
      <c r="U83" s="41">
        <v>167</v>
      </c>
      <c r="V83" s="41">
        <v>150</v>
      </c>
      <c r="W83" s="41">
        <v>199.79</v>
      </c>
      <c r="X83" s="41">
        <v>203.78579999999999</v>
      </c>
      <c r="Y83" s="41">
        <v>216.01294799999999</v>
      </c>
      <c r="Z83" s="41">
        <v>233.29398384000001</v>
      </c>
      <c r="AA83" s="41">
        <v>235.6269236784</v>
      </c>
      <c r="AB83" s="41">
        <v>245.05200062553601</v>
      </c>
      <c r="AC83" s="41">
        <v>259.75512066306817</v>
      </c>
      <c r="AD83" s="41">
        <v>283.13308152274431</v>
      </c>
      <c r="AE83" s="150">
        <f t="shared" si="64"/>
        <v>19.534617211038391</v>
      </c>
      <c r="AF83" s="150">
        <f t="shared" si="64"/>
        <v>31.832426450757271</v>
      </c>
      <c r="AG83" s="150">
        <f t="shared" si="64"/>
        <v>44.130235690476226</v>
      </c>
      <c r="AH83" s="150">
        <f t="shared" si="64"/>
        <v>56.428044930195128</v>
      </c>
      <c r="AI83" s="150">
        <f t="shared" si="64"/>
        <v>68.725854169914058</v>
      </c>
      <c r="AJ83" s="150">
        <f t="shared" si="64"/>
        <v>81.02366340963296</v>
      </c>
      <c r="AK83" s="150">
        <f t="shared" si="64"/>
        <v>93.321472649351918</v>
      </c>
      <c r="AL83" s="150">
        <f t="shared" si="64"/>
        <v>105.61928188907079</v>
      </c>
      <c r="AM83" s="150">
        <f t="shared" si="64"/>
        <v>117.91709112878975</v>
      </c>
      <c r="AN83" s="150">
        <f t="shared" si="64"/>
        <v>130.21490036850867</v>
      </c>
      <c r="AO83" s="150">
        <f t="shared" si="65"/>
        <v>142.51270960822757</v>
      </c>
      <c r="AP83" s="150">
        <f t="shared" si="65"/>
        <v>154.8105188479465</v>
      </c>
      <c r="AQ83" s="150">
        <f t="shared" si="65"/>
        <v>167.10832808766543</v>
      </c>
      <c r="AR83" s="150">
        <f t="shared" si="65"/>
        <v>179.40613732738433</v>
      </c>
      <c r="AS83" s="150">
        <f t="shared" si="65"/>
        <v>191.70394656710326</v>
      </c>
      <c r="AT83" s="150">
        <f t="shared" si="65"/>
        <v>204.00175580682219</v>
      </c>
      <c r="AU83" s="150">
        <f t="shared" si="65"/>
        <v>216.29956504654109</v>
      </c>
      <c r="AV83" s="150">
        <f t="shared" si="65"/>
        <v>228.59737428626002</v>
      </c>
      <c r="AW83" s="150">
        <f t="shared" si="65"/>
        <v>240.89518352597895</v>
      </c>
      <c r="AX83" s="150">
        <f t="shared" si="65"/>
        <v>253.19299276569788</v>
      </c>
      <c r="AY83" s="150">
        <f t="shared" si="65"/>
        <v>265.49080200541681</v>
      </c>
      <c r="AZ83" s="150">
        <f t="shared" si="65"/>
        <v>277.78861124513571</v>
      </c>
      <c r="BA83" s="148">
        <f t="shared" si="65"/>
        <v>290.08642048485461</v>
      </c>
      <c r="BB83" s="148">
        <f t="shared" si="65"/>
        <v>302.38422972457357</v>
      </c>
      <c r="BC83" s="148">
        <f t="shared" si="65"/>
        <v>314.68203896429247</v>
      </c>
      <c r="BD83" s="45">
        <f t="shared" si="53"/>
        <v>167.35606486493475</v>
      </c>
      <c r="BE83" s="45">
        <f t="shared" si="53"/>
        <v>300.10110399479669</v>
      </c>
      <c r="BF83" s="45">
        <f t="shared" si="53"/>
        <v>102.62167514459834</v>
      </c>
      <c r="BG83" s="45">
        <f t="shared" si="53"/>
        <v>392.47750122621102</v>
      </c>
      <c r="BH83" s="45">
        <f t="shared" si="53"/>
        <v>417.29722598727335</v>
      </c>
      <c r="BI83" s="45">
        <f t="shared" si="53"/>
        <v>906.65205096820591</v>
      </c>
      <c r="BJ83" s="45">
        <f t="shared" si="53"/>
        <v>5873.4638744760223</v>
      </c>
      <c r="BK83" s="45">
        <f t="shared" si="53"/>
        <v>2777.5764962800631</v>
      </c>
      <c r="BL83" s="45">
        <f t="shared" si="51"/>
        <v>2688.8278652237759</v>
      </c>
      <c r="BM83" s="45">
        <f t="shared" si="51"/>
        <v>2478.5561453175187</v>
      </c>
      <c r="BN83" s="45">
        <f t="shared" si="51"/>
        <v>240.64415938919586</v>
      </c>
      <c r="BO83" s="45">
        <f t="shared" si="51"/>
        <v>136.87874127345688</v>
      </c>
      <c r="BP83" s="45">
        <f t="shared" si="51"/>
        <v>1.1734974577248463E-2</v>
      </c>
      <c r="BQ83" s="45">
        <f t="shared" si="29"/>
        <v>864.720912516986</v>
      </c>
      <c r="BR83" s="45">
        <f t="shared" si="29"/>
        <v>65.38426011966105</v>
      </c>
      <c r="BS83" s="45">
        <f t="shared" si="29"/>
        <v>4.6636910500224803E-2</v>
      </c>
      <c r="BT83" s="45">
        <f t="shared" si="29"/>
        <v>8.2149331367940781E-2</v>
      </c>
      <c r="BU83" s="45">
        <f t="shared" si="29"/>
        <v>22.058141300281743</v>
      </c>
      <c r="BV83" s="45">
        <f t="shared" si="29"/>
        <v>27.75456182161254</v>
      </c>
      <c r="BW83" s="45">
        <f t="shared" si="29"/>
        <v>66.275753026177355</v>
      </c>
      <c r="BX83" s="45">
        <f t="shared" si="29"/>
        <v>32.898040460966314</v>
      </c>
      <c r="BY83" s="45">
        <f t="shared" si="29"/>
        <v>28.563362548241674</v>
      </c>
      <c r="BZ83" s="92">
        <f t="shared" si="47"/>
        <v>28.276434500349662</v>
      </c>
      <c r="CA83" s="47">
        <f t="shared" si="48"/>
        <v>9.9869765653217021E-2</v>
      </c>
      <c r="CB83" s="42">
        <f t="shared" si="17"/>
        <v>1</v>
      </c>
      <c r="CC83" s="42">
        <f t="shared" si="62"/>
        <v>2</v>
      </c>
      <c r="CD83" s="42">
        <f t="shared" si="62"/>
        <v>3</v>
      </c>
      <c r="CE83" s="42">
        <f t="shared" si="62"/>
        <v>4</v>
      </c>
      <c r="CF83" s="42">
        <f t="shared" si="62"/>
        <v>5</v>
      </c>
      <c r="CG83" s="42">
        <f t="shared" si="62"/>
        <v>6</v>
      </c>
      <c r="CH83" s="42">
        <f t="shared" si="62"/>
        <v>7</v>
      </c>
      <c r="CI83" s="42">
        <f t="shared" si="62"/>
        <v>8</v>
      </c>
      <c r="CJ83" s="42">
        <f t="shared" si="62"/>
        <v>9</v>
      </c>
      <c r="CK83" s="42">
        <f t="shared" si="62"/>
        <v>10</v>
      </c>
      <c r="CL83" s="42">
        <f t="shared" si="62"/>
        <v>11</v>
      </c>
      <c r="CM83" s="42">
        <f t="shared" si="62"/>
        <v>12</v>
      </c>
      <c r="CN83" s="42">
        <f t="shared" si="62"/>
        <v>13</v>
      </c>
      <c r="CO83" s="42">
        <f t="shared" si="62"/>
        <v>14</v>
      </c>
      <c r="CP83" s="42">
        <f t="shared" si="60"/>
        <v>15</v>
      </c>
      <c r="CQ83" s="42">
        <f t="shared" si="60"/>
        <v>16</v>
      </c>
      <c r="CR83" s="42">
        <f t="shared" si="60"/>
        <v>17</v>
      </c>
      <c r="CS83" s="42">
        <f t="shared" si="59"/>
        <v>18</v>
      </c>
      <c r="CT83" s="42">
        <f t="shared" si="59"/>
        <v>19</v>
      </c>
      <c r="CU83" s="42">
        <f t="shared" si="59"/>
        <v>20</v>
      </c>
      <c r="CV83" s="42">
        <f t="shared" si="59"/>
        <v>21</v>
      </c>
      <c r="CW83" s="42">
        <f t="shared" si="59"/>
        <v>22</v>
      </c>
      <c r="CX83" s="42">
        <f t="shared" si="59"/>
        <v>23</v>
      </c>
      <c r="CY83" s="42">
        <f t="shared" si="59"/>
        <v>24</v>
      </c>
      <c r="CZ83" s="42">
        <f t="shared" si="40"/>
        <v>25</v>
      </c>
      <c r="DA83" s="99">
        <f t="shared" si="66"/>
        <v>9.6538027119932384</v>
      </c>
      <c r="DB83" s="99">
        <f t="shared" si="66"/>
        <v>16.350381169995394</v>
      </c>
      <c r="DC83" s="99">
        <f t="shared" si="66"/>
        <v>13.370504608339122</v>
      </c>
      <c r="DD83" s="99">
        <f t="shared" si="66"/>
        <v>11.716171915929701</v>
      </c>
      <c r="DE83" s="99">
        <f t="shared" si="66"/>
        <v>16.67882138142426</v>
      </c>
      <c r="DF83" s="99">
        <f t="shared" si="66"/>
        <v>28.023050833668691</v>
      </c>
      <c r="DG83" s="99">
        <f t="shared" si="66"/>
        <v>27.650248075979544</v>
      </c>
      <c r="DH83" s="99">
        <f t="shared" si="66"/>
        <v>32.158946229046087</v>
      </c>
      <c r="DI83" s="99">
        <f t="shared" si="66"/>
        <v>30.540886858410349</v>
      </c>
      <c r="DJ83" s="99">
        <f t="shared" si="66"/>
        <v>29.355251240177264</v>
      </c>
      <c r="DK83" s="99">
        <f t="shared" si="67"/>
        <v>24.99617829127854</v>
      </c>
      <c r="DL83" s="99">
        <f t="shared" si="67"/>
        <v>19.852775070464908</v>
      </c>
      <c r="DM83" s="99">
        <f t="shared" si="67"/>
        <v>21.176000732137197</v>
      </c>
      <c r="DN83" s="99">
        <f t="shared" si="67"/>
        <v>27.6949716294185</v>
      </c>
      <c r="DO83" s="99">
        <f t="shared" si="67"/>
        <v>9.6538027119932384</v>
      </c>
      <c r="DP83" s="99">
        <f t="shared" si="67"/>
        <v>9.6538027119932384</v>
      </c>
      <c r="DQ83" s="99">
        <f t="shared" si="67"/>
        <v>9.6538027119932384</v>
      </c>
      <c r="DR83" s="99">
        <f t="shared" si="67"/>
        <v>9.6538027119932384</v>
      </c>
      <c r="DS83" s="99">
        <f t="shared" si="67"/>
        <v>9.6538027119932384</v>
      </c>
      <c r="DT83" s="99"/>
      <c r="DU83" s="99"/>
      <c r="DV83" s="99"/>
      <c r="DW83" s="42"/>
      <c r="DX83" s="42"/>
      <c r="DY83" s="42"/>
      <c r="DZ83" s="42"/>
      <c r="EA83" s="42"/>
      <c r="EB83" s="42"/>
      <c r="EC83" s="42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42"/>
      <c r="ER83" s="42"/>
      <c r="ES83" s="100"/>
      <c r="ET83" s="99"/>
      <c r="EU83" s="99"/>
      <c r="EV83" s="99"/>
      <c r="EW83" s="99"/>
      <c r="EX83" s="99"/>
      <c r="EY83" s="99"/>
      <c r="EZ83" s="99"/>
      <c r="FA83" s="99"/>
      <c r="FB83" s="99"/>
      <c r="FC83" s="99"/>
      <c r="FD83" s="99"/>
      <c r="FE83" s="99"/>
      <c r="FF83" s="99"/>
      <c r="FG83" s="99"/>
      <c r="FH83" s="99"/>
      <c r="FI83" s="99"/>
      <c r="FJ83" s="99"/>
      <c r="FK83" s="99"/>
      <c r="FL83" s="99"/>
      <c r="FM83" s="99"/>
      <c r="FN83" s="99"/>
      <c r="FO83" s="25" t="str">
        <f t="shared" si="49"/>
        <v>Forecast function8</v>
      </c>
    </row>
    <row r="84" spans="1:171" ht="13.5" thickBot="1">
      <c r="A84" s="147"/>
      <c r="B84" s="134"/>
      <c r="C84" s="134"/>
      <c r="D84" s="134"/>
      <c r="E84" s="134">
        <f t="shared" si="54"/>
        <v>12</v>
      </c>
      <c r="F84" s="135"/>
      <c r="G84" s="112" t="s">
        <v>46</v>
      </c>
      <c r="H84" s="96">
        <v>9</v>
      </c>
      <c r="I84" s="95">
        <v>798</v>
      </c>
      <c r="J84" s="95">
        <v>823</v>
      </c>
      <c r="K84" s="95">
        <v>839</v>
      </c>
      <c r="L84" s="41">
        <v>889.34</v>
      </c>
      <c r="M84" s="41">
        <v>969.38060000000007</v>
      </c>
      <c r="N84" s="41">
        <v>1017.8496300000002</v>
      </c>
      <c r="O84" s="41">
        <v>1109.4560967000002</v>
      </c>
      <c r="P84" s="41">
        <v>1176.0234625020003</v>
      </c>
      <c r="Q84" s="41">
        <v>1223.0644010020803</v>
      </c>
      <c r="R84" s="41">
        <v>1345.3708411022885</v>
      </c>
      <c r="S84" s="41">
        <v>1426.093091568426</v>
      </c>
      <c r="T84" s="41">
        <v>1483.1368152311632</v>
      </c>
      <c r="U84" s="41">
        <v>1631.4504967542796</v>
      </c>
      <c r="V84" s="41">
        <v>1761.966536494622</v>
      </c>
      <c r="W84" s="41">
        <v>1902.9238594141918</v>
      </c>
      <c r="X84" s="41">
        <v>1940.9823366024757</v>
      </c>
      <c r="Y84" s="41">
        <v>2115.6707468966988</v>
      </c>
      <c r="Z84" s="41">
        <v>2200.297576772567</v>
      </c>
      <c r="AA84" s="41">
        <v>2420.3273344498239</v>
      </c>
      <c r="AB84" s="41">
        <v>2468.7338811388204</v>
      </c>
      <c r="AC84" s="41">
        <v>2641.5452528185378</v>
      </c>
      <c r="AD84" s="41">
        <v>2773.6225154594649</v>
      </c>
      <c r="AE84" s="41">
        <f t="shared" si="64"/>
        <v>297.5433027281727</v>
      </c>
      <c r="AF84" s="41">
        <f t="shared" si="64"/>
        <v>456.0421303511053</v>
      </c>
      <c r="AG84" s="41">
        <f t="shared" si="64"/>
        <v>625.09151474748546</v>
      </c>
      <c r="AH84" s="41">
        <f t="shared" si="64"/>
        <v>691.39599373260182</v>
      </c>
      <c r="AI84" s="41">
        <f t="shared" si="64"/>
        <v>894.04573946091432</v>
      </c>
      <c r="AJ84" s="41">
        <f t="shared" si="64"/>
        <v>901.94050765451209</v>
      </c>
      <c r="AK84" s="41">
        <f t="shared" si="64"/>
        <v>1082.725857944688</v>
      </c>
      <c r="AL84" s="41">
        <f t="shared" si="64"/>
        <v>1167.5956983310923</v>
      </c>
      <c r="AM84" s="41">
        <f t="shared" si="64"/>
        <v>1307.5090430675318</v>
      </c>
      <c r="AN84" s="41">
        <f t="shared" si="64"/>
        <v>1464.438362056331</v>
      </c>
      <c r="AO84" s="41">
        <f t="shared" si="65"/>
        <v>1349.125314817416</v>
      </c>
      <c r="AP84" s="41">
        <f t="shared" si="65"/>
        <v>1430.3625312695217</v>
      </c>
      <c r="AQ84" s="41">
        <f t="shared" si="65"/>
        <v>1606.760548456436</v>
      </c>
      <c r="AR84" s="41">
        <f t="shared" si="65"/>
        <v>1765.2593760793686</v>
      </c>
      <c r="AS84" s="41">
        <f t="shared" si="65"/>
        <v>1934.3087604757488</v>
      </c>
      <c r="AT84" s="41">
        <f t="shared" si="65"/>
        <v>2000.6132394608651</v>
      </c>
      <c r="AU84" s="41">
        <f t="shared" si="65"/>
        <v>2203.2629851891779</v>
      </c>
      <c r="AV84" s="41">
        <f t="shared" si="65"/>
        <v>2211.1577533827758</v>
      </c>
      <c r="AW84" s="41">
        <f t="shared" si="65"/>
        <v>2391.9431036729516</v>
      </c>
      <c r="AX84" s="41">
        <f t="shared" si="65"/>
        <v>2476.8129440593557</v>
      </c>
      <c r="AY84" s="41">
        <f t="shared" si="65"/>
        <v>2616.7262887957954</v>
      </c>
      <c r="AZ84" s="41">
        <f t="shared" si="65"/>
        <v>2773.6556077845944</v>
      </c>
      <c r="BA84" s="148">
        <f t="shared" si="65"/>
        <v>2658.3425605456791</v>
      </c>
      <c r="BB84" s="148">
        <f t="shared" si="65"/>
        <v>2739.5797769977853</v>
      </c>
      <c r="BC84" s="148">
        <f t="shared" si="65"/>
        <v>2915.9777941846996</v>
      </c>
      <c r="BD84" s="45">
        <f t="shared" si="53"/>
        <v>250456.9058442254</v>
      </c>
      <c r="BE84" s="45">
        <f t="shared" si="53"/>
        <v>134658.0780972552</v>
      </c>
      <c r="BF84" s="45">
        <f t="shared" si="53"/>
        <v>45756.840063025229</v>
      </c>
      <c r="BG84" s="45">
        <f t="shared" si="53"/>
        <v>39181.829617187781</v>
      </c>
      <c r="BH84" s="45">
        <f t="shared" si="53"/>
        <v>5675.3412124434999</v>
      </c>
      <c r="BI84" s="45">
        <f t="shared" si="53"/>
        <v>13434.924642901322</v>
      </c>
      <c r="BJ84" s="45">
        <f t="shared" si="53"/>
        <v>714.50566391599739</v>
      </c>
      <c r="BK84" s="45">
        <f t="shared" si="53"/>
        <v>71.027208920439747</v>
      </c>
      <c r="BL84" s="45">
        <f t="shared" si="51"/>
        <v>7130.8975735622189</v>
      </c>
      <c r="BM84" s="45">
        <f t="shared" si="51"/>
        <v>14177.074546141348</v>
      </c>
      <c r="BN84" s="45">
        <f t="shared" si="51"/>
        <v>5924.038657993312</v>
      </c>
      <c r="BO84" s="45">
        <f t="shared" si="51"/>
        <v>2785.1250476639671</v>
      </c>
      <c r="BP84" s="45">
        <f t="shared" si="51"/>
        <v>609.59354695018794</v>
      </c>
      <c r="BQ84" s="45">
        <f t="shared" si="29"/>
        <v>10.842792530874268</v>
      </c>
      <c r="BR84" s="45">
        <f t="shared" si="29"/>
        <v>985.01201464372184</v>
      </c>
      <c r="BS84" s="45">
        <f t="shared" si="29"/>
        <v>3555.844575706672</v>
      </c>
      <c r="BT84" s="45">
        <f t="shared" si="29"/>
        <v>7672.400209086446</v>
      </c>
      <c r="BU84" s="45">
        <f t="shared" si="29"/>
        <v>117.94343600492591</v>
      </c>
      <c r="BV84" s="45">
        <f t="shared" si="29"/>
        <v>805.66455679474473</v>
      </c>
      <c r="BW84" s="45">
        <f t="shared" si="29"/>
        <v>65.271257673968492</v>
      </c>
      <c r="BX84" s="45">
        <f t="shared" si="29"/>
        <v>615.98097516218263</v>
      </c>
      <c r="BY84" s="45">
        <f t="shared" si="29"/>
        <v>1.095101982474781E-3</v>
      </c>
      <c r="BZ84" s="92">
        <f t="shared" si="47"/>
        <v>155.85616076062098</v>
      </c>
      <c r="CA84" s="47">
        <f t="shared" si="48"/>
        <v>5.6192275586139956E-2</v>
      </c>
      <c r="CB84" s="42">
        <f t="shared" si="17"/>
        <v>1</v>
      </c>
      <c r="CC84" s="42">
        <f t="shared" si="62"/>
        <v>2</v>
      </c>
      <c r="CD84" s="42">
        <f t="shared" si="62"/>
        <v>3</v>
      </c>
      <c r="CE84" s="42">
        <f t="shared" si="62"/>
        <v>4</v>
      </c>
      <c r="CF84" s="42">
        <f t="shared" si="62"/>
        <v>5</v>
      </c>
      <c r="CG84" s="42">
        <f t="shared" si="62"/>
        <v>6</v>
      </c>
      <c r="CH84" s="42">
        <f t="shared" si="62"/>
        <v>7</v>
      </c>
      <c r="CI84" s="42">
        <f t="shared" si="62"/>
        <v>8</v>
      </c>
      <c r="CJ84" s="42">
        <f t="shared" si="62"/>
        <v>9</v>
      </c>
      <c r="CK84" s="42">
        <f t="shared" si="62"/>
        <v>10</v>
      </c>
      <c r="CL84" s="42">
        <f t="shared" si="62"/>
        <v>11</v>
      </c>
      <c r="CM84" s="42">
        <f t="shared" si="62"/>
        <v>12</v>
      </c>
      <c r="CN84" s="42">
        <f t="shared" si="62"/>
        <v>13</v>
      </c>
      <c r="CO84" s="42">
        <f t="shared" si="62"/>
        <v>14</v>
      </c>
      <c r="CP84" s="42">
        <f t="shared" si="60"/>
        <v>15</v>
      </c>
      <c r="CQ84" s="42">
        <f t="shared" si="60"/>
        <v>16</v>
      </c>
      <c r="CR84" s="42">
        <f t="shared" si="60"/>
        <v>17</v>
      </c>
      <c r="CS84" s="42">
        <f t="shared" si="59"/>
        <v>18</v>
      </c>
      <c r="CT84" s="42">
        <f t="shared" si="59"/>
        <v>19</v>
      </c>
      <c r="CU84" s="42">
        <f t="shared" si="59"/>
        <v>20</v>
      </c>
      <c r="CV84" s="42">
        <f t="shared" si="59"/>
        <v>21</v>
      </c>
      <c r="CW84" s="42">
        <f t="shared" si="59"/>
        <v>22</v>
      </c>
      <c r="CX84" s="42">
        <f t="shared" si="59"/>
        <v>23</v>
      </c>
      <c r="CY84" s="42">
        <f t="shared" si="59"/>
        <v>24</v>
      </c>
      <c r="CZ84" s="42">
        <f t="shared" si="40"/>
        <v>25</v>
      </c>
      <c r="DA84" s="99">
        <f t="shared" si="66"/>
        <v>78.621447432978414</v>
      </c>
      <c r="DB84" s="99">
        <f t="shared" si="66"/>
        <v>60.340662258720187</v>
      </c>
      <c r="DC84" s="99">
        <f t="shared" si="66"/>
        <v>101.03828886155037</v>
      </c>
      <c r="DD84" s="99">
        <f t="shared" si="66"/>
        <v>51.303475940980043</v>
      </c>
      <c r="DE84" s="99">
        <f t="shared" si="66"/>
        <v>50.482357478087515</v>
      </c>
      <c r="DF84" s="99">
        <f t="shared" si="66"/>
        <v>60.023098338683091</v>
      </c>
      <c r="DG84" s="99">
        <f t="shared" si="66"/>
        <v>50.198156153786954</v>
      </c>
      <c r="DH84" s="99">
        <f t="shared" si="66"/>
        <v>88.577828882735218</v>
      </c>
      <c r="DI84" s="99">
        <f t="shared" si="66"/>
        <v>92.330694870018348</v>
      </c>
      <c r="DJ84" s="99">
        <f t="shared" si="66"/>
        <v>78.655798595349268</v>
      </c>
      <c r="DK84" s="99">
        <f t="shared" si="67"/>
        <v>63.779647592113406</v>
      </c>
      <c r="DL84" s="99">
        <f t="shared" si="67"/>
        <v>44.671096213627266</v>
      </c>
      <c r="DM84" s="99">
        <f t="shared" si="67"/>
        <v>99.543589965707028</v>
      </c>
      <c r="DN84" s="99">
        <f t="shared" si="67"/>
        <v>128.2870487959496</v>
      </c>
      <c r="DO84" s="99">
        <f t="shared" si="67"/>
        <v>78.621447432978414</v>
      </c>
      <c r="DP84" s="99">
        <f t="shared" si="67"/>
        <v>78.621447432978414</v>
      </c>
      <c r="DQ84" s="99">
        <f t="shared" si="67"/>
        <v>78.621447432978414</v>
      </c>
      <c r="DR84" s="99">
        <f t="shared" si="67"/>
        <v>78.621447432978414</v>
      </c>
      <c r="DS84" s="99">
        <f t="shared" si="67"/>
        <v>78.621447432978414</v>
      </c>
      <c r="DT84" s="99"/>
      <c r="DU84" s="99"/>
      <c r="DV84" s="99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  <c r="EI84" s="94"/>
      <c r="EJ84" s="94"/>
      <c r="EK84" s="94"/>
      <c r="EL84" s="94"/>
      <c r="EM84" s="94"/>
      <c r="EN84" s="94"/>
      <c r="EO84" s="94"/>
      <c r="EP84" s="94"/>
      <c r="EQ84" s="94"/>
      <c r="ER84" s="94"/>
      <c r="ES84" s="101"/>
      <c r="ET84" s="101"/>
      <c r="EU84" s="101"/>
      <c r="EV84" s="101"/>
      <c r="EW84" s="101"/>
      <c r="EX84" s="101"/>
      <c r="EY84" s="101"/>
      <c r="EZ84" s="101"/>
      <c r="FA84" s="101"/>
      <c r="FB84" s="101"/>
      <c r="FC84" s="101"/>
      <c r="FD84" s="101"/>
      <c r="FE84" s="101"/>
      <c r="FF84" s="101"/>
      <c r="FG84" s="101"/>
      <c r="FH84" s="101"/>
      <c r="FI84" s="101"/>
      <c r="FJ84" s="101"/>
      <c r="FK84" s="101"/>
      <c r="FL84" s="101"/>
      <c r="FM84" s="101"/>
      <c r="FN84" s="101"/>
      <c r="FO84" s="25" t="str">
        <f t="shared" si="49"/>
        <v>Forecast function9</v>
      </c>
    </row>
    <row r="85" spans="1:171" ht="15">
      <c r="BC85" s="24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</row>
    <row r="86" spans="1:171" ht="15">
      <c r="BC86" s="24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</row>
    <row r="87" spans="1:171" ht="15">
      <c r="BC87" s="24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</row>
    <row r="88" spans="1:171" ht="15">
      <c r="BC88" s="24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</row>
    <row r="89" spans="1:171" ht="15">
      <c r="BC89" s="24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</row>
    <row r="90" spans="1:171" ht="15">
      <c r="BC90" s="24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</row>
    <row r="91" spans="1:171" ht="15">
      <c r="BC91" s="24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</row>
    <row r="92" spans="1:171" ht="15">
      <c r="BC92" s="24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</row>
    <row r="93" spans="1:171" ht="15">
      <c r="BC93" s="24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</row>
    <row r="94" spans="1:171" ht="15">
      <c r="BC94" s="2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</row>
    <row r="95" spans="1:171" ht="15">
      <c r="BC95" s="24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</row>
    <row r="96" spans="1:171" ht="15">
      <c r="BC96" s="24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</row>
    <row r="97" spans="55:93" ht="15">
      <c r="BC97" s="24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</row>
    <row r="98" spans="55:93" ht="15">
      <c r="BC98" s="24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</row>
    <row r="99" spans="55:93" ht="15">
      <c r="BC99" s="24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</row>
    <row r="100" spans="55:93" ht="15">
      <c r="BC100" s="24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</row>
    <row r="101" spans="55:93" ht="15">
      <c r="BC101" s="24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</row>
    <row r="102" spans="55:93" ht="15">
      <c r="BC102" s="24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</row>
    <row r="103" spans="55:93" ht="15">
      <c r="BC103" s="24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55:93" ht="15">
      <c r="BC104" s="2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</row>
    <row r="105" spans="55:93" ht="15">
      <c r="BC105" s="24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</row>
    <row r="106" spans="55:93" ht="15">
      <c r="BC106" s="24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</row>
    <row r="107" spans="55:93" ht="15">
      <c r="BC107" s="24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</row>
  </sheetData>
  <mergeCells count="22">
    <mergeCell ref="FH2:FS2"/>
    <mergeCell ref="FT2:FU2"/>
    <mergeCell ref="CE2:CF2"/>
    <mergeCell ref="CI2:CP2"/>
    <mergeCell ref="CQ2:DB2"/>
    <mergeCell ref="DC2:DD2"/>
    <mergeCell ref="DH2:DO2"/>
    <mergeCell ref="AT2:BE2"/>
    <mergeCell ref="BF2:BG2"/>
    <mergeCell ref="BH2:BJ2"/>
    <mergeCell ref="BK2:BR2"/>
    <mergeCell ref="BS2:CD2"/>
    <mergeCell ref="DP2:EA2"/>
    <mergeCell ref="EB2:EC2"/>
    <mergeCell ref="ED2:EK2"/>
    <mergeCell ref="EL2:EW2"/>
    <mergeCell ref="EX2:EY2"/>
    <mergeCell ref="EZ2:FG2"/>
    <mergeCell ref="P2:W2"/>
    <mergeCell ref="X2:AI2"/>
    <mergeCell ref="AJ2:AK2"/>
    <mergeCell ref="AL2:AS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1D949-0E7D-4156-99E9-0B8A13F2B00E}">
  <dimension ref="A1:N10"/>
  <sheetViews>
    <sheetView tabSelected="1" zoomScale="90" zoomScaleNormal="90" workbookViewId="0">
      <selection sqref="A1:XFD1"/>
    </sheetView>
  </sheetViews>
  <sheetFormatPr defaultRowHeight="15"/>
  <cols>
    <col min="1" max="1" width="8" bestFit="1" customWidth="1"/>
    <col min="2" max="9" width="14.28515625" customWidth="1"/>
    <col min="10" max="10" width="11.85546875" customWidth="1"/>
    <col min="11" max="11" width="18.85546875" customWidth="1"/>
    <col min="12" max="12" width="13.5703125" style="106" bestFit="1" customWidth="1"/>
    <col min="13" max="13" width="13" customWidth="1"/>
  </cols>
  <sheetData>
    <row r="1" spans="1:14" ht="38.25">
      <c r="A1" s="30" t="s">
        <v>18</v>
      </c>
      <c r="B1" s="110" t="s">
        <v>77</v>
      </c>
      <c r="C1" s="110" t="s">
        <v>99</v>
      </c>
      <c r="D1" s="110" t="s">
        <v>100</v>
      </c>
      <c r="E1" s="110" t="s">
        <v>101</v>
      </c>
      <c r="F1" s="110" t="s">
        <v>102</v>
      </c>
      <c r="G1" s="110" t="s">
        <v>82</v>
      </c>
      <c r="H1" s="110" t="s">
        <v>55</v>
      </c>
      <c r="I1" s="110" t="s">
        <v>83</v>
      </c>
      <c r="J1" s="110" t="s">
        <v>103</v>
      </c>
      <c r="K1" s="110" t="s">
        <v>104</v>
      </c>
      <c r="L1" s="110" t="s">
        <v>19</v>
      </c>
      <c r="M1" s="110" t="s">
        <v>20</v>
      </c>
      <c r="N1" s="110" t="s">
        <v>21</v>
      </c>
    </row>
    <row r="2" spans="1:14">
      <c r="A2" s="40">
        <v>1</v>
      </c>
      <c r="B2" s="109">
        <f>_xlfn.XLOOKUP(B$1&amp;$A2,'Task III - multiple indexes'!$FO$4:$FO$84,'Task III - multiple indexes'!$CA$4:$CA$84,0,0)</f>
        <v>0</v>
      </c>
      <c r="C2" s="109">
        <f>_xlfn.XLOOKUP(C$1&amp;$A2,'Task III - multiple indexes'!$FO$4:$FO$84,'Task III - multiple indexes'!$CA$4:$CA$84,0,0)</f>
        <v>0</v>
      </c>
      <c r="D2" s="109">
        <f>_xlfn.XLOOKUP(D$1&amp;$A2,'Task III - multiple indexes'!$FO$4:$FO$84,'Task III - multiple indexes'!$CA$4:$CA$84,0,0)</f>
        <v>0</v>
      </c>
      <c r="E2" s="109">
        <f>_xlfn.XLOOKUP(E$1&amp;$A2,'Task III - multiple indexes'!$FO$4:$FO$84,'Task III - multiple indexes'!$CA$4:$CA$84,0,0)</f>
        <v>0</v>
      </c>
      <c r="F2" s="109">
        <f>_xlfn.XLOOKUP(F$1&amp;$A2,'Task III - multiple indexes'!$FO$4:$FO$84,'Task III - multiple indexes'!$CA$4:$CA$84,0,0)</f>
        <v>0</v>
      </c>
      <c r="G2" s="109">
        <f>_xlfn.XLOOKUP(G$1&amp;$A2,'Task III - multiple indexes'!$FO$4:$FO$84,'Task III - multiple indexes'!$CA$4:$CA$84,0,0)</f>
        <v>0</v>
      </c>
      <c r="H2" s="109">
        <f>_xlfn.XLOOKUP(H$1&amp;$A2,'Task III - multiple indexes'!$FO$4:$FO$84,'Task III - multiple indexes'!$CA$4:$CA$84,0,0)</f>
        <v>0</v>
      </c>
      <c r="I2" s="109">
        <f>_xlfn.XLOOKUP(I$1&amp;$A2,'Task III - multiple indexes'!$FO$4:$FO$84,'Task III - multiple indexes'!$CA$4:$CA$84,0,0)</f>
        <v>0</v>
      </c>
      <c r="J2" s="108">
        <f t="shared" ref="J2:J10" si="0">MIN(B2:I2)</f>
        <v>0</v>
      </c>
      <c r="K2" s="84" t="str">
        <f t="shared" ref="K2:K10" ca="1" si="1">OFFSET($A$1,0,MATCH(J2,B2:I2,0))</f>
        <v>Aritmetički prosjek</v>
      </c>
      <c r="L2" s="107">
        <f ca="1">_xlfn.XLOOKUP($K2&amp;$A2,'Task III - multiple indexes'!$FO$4:$FO$84,'Task III - multiple indexes'!BA$4:BA$84,0,0)</f>
        <v>0</v>
      </c>
      <c r="M2" s="107">
        <f ca="1">_xlfn.XLOOKUP($K2&amp;$A2,'Task III - multiple indexes'!$FO$4:$FO$84,'Task III - multiple indexes'!BB$4:BB$84,0,0)</f>
        <v>0</v>
      </c>
      <c r="N2" s="107">
        <f ca="1">_xlfn.XLOOKUP($K2&amp;$A2,'Task III - multiple indexes'!$FO$4:$FO$84,'Task III - multiple indexes'!BC$4:BC$84,0,0)</f>
        <v>0</v>
      </c>
    </row>
    <row r="3" spans="1:14">
      <c r="A3" s="40">
        <v>2</v>
      </c>
      <c r="B3" s="109">
        <f>_xlfn.XLOOKUP(B$1&amp;$A3,'Task III - multiple indexes'!$FO$4:$FO$84,'Task III - multiple indexes'!$CA$4:$CA$84,0,0)</f>
        <v>0</v>
      </c>
      <c r="C3" s="109">
        <f>_xlfn.XLOOKUP(C$1&amp;$A3,'Task III - multiple indexes'!$FO$4:$FO$84,'Task III - multiple indexes'!$CA$4:$CA$84,0,0)</f>
        <v>0</v>
      </c>
      <c r="D3" s="109">
        <f>_xlfn.XLOOKUP(D$1&amp;$A3,'Task III - multiple indexes'!$FO$4:$FO$84,'Task III - multiple indexes'!$CA$4:$CA$84,0,0)</f>
        <v>0</v>
      </c>
      <c r="E3" s="109">
        <f>_xlfn.XLOOKUP(E$1&amp;$A3,'Task III - multiple indexes'!$FO$4:$FO$84,'Task III - multiple indexes'!$CA$4:$CA$84,0,0)</f>
        <v>0</v>
      </c>
      <c r="F3" s="109">
        <f>_xlfn.XLOOKUP(F$1&amp;$A3,'Task III - multiple indexes'!$FO$4:$FO$84,'Task III - multiple indexes'!$CA$4:$CA$84,0,0)</f>
        <v>0</v>
      </c>
      <c r="G3" s="109">
        <f>_xlfn.XLOOKUP(G$1&amp;$A3,'Task III - multiple indexes'!$FO$4:$FO$84,'Task III - multiple indexes'!$CA$4:$CA$84,0,0)</f>
        <v>0</v>
      </c>
      <c r="H3" s="109">
        <f>_xlfn.XLOOKUP(H$1&amp;$A3,'Task III - multiple indexes'!$FO$4:$FO$84,'Task III - multiple indexes'!$CA$4:$CA$84,0,0)</f>
        <v>0</v>
      </c>
      <c r="I3" s="109">
        <f>_xlfn.XLOOKUP(I$1&amp;$A3,'Task III - multiple indexes'!$FO$4:$FO$84,'Task III - multiple indexes'!$CA$4:$CA$84,0,0)</f>
        <v>0</v>
      </c>
      <c r="J3" s="108">
        <f t="shared" si="0"/>
        <v>0</v>
      </c>
      <c r="K3" s="84" t="str">
        <f t="shared" ca="1" si="1"/>
        <v>Aritmetički prosjek</v>
      </c>
      <c r="L3" s="107">
        <f ca="1">_xlfn.XLOOKUP($K3&amp;$A3,'Task III - multiple indexes'!$FO$4:$FO$84,'Task III - multiple indexes'!BA$4:BA$84,0,0)</f>
        <v>0</v>
      </c>
      <c r="M3" s="107">
        <f ca="1">_xlfn.XLOOKUP($K3&amp;$A3,'Task III - multiple indexes'!$FO$4:$FO$84,'Task III - multiple indexes'!BB$4:BB$84,0,0)</f>
        <v>0</v>
      </c>
      <c r="N3" s="107">
        <f ca="1">_xlfn.XLOOKUP($K3&amp;$A3,'Task III - multiple indexes'!$FO$4:$FO$84,'Task III - multiple indexes'!BC$4:BC$84,0,0)</f>
        <v>0</v>
      </c>
    </row>
    <row r="4" spans="1:14">
      <c r="A4" s="40">
        <v>3</v>
      </c>
      <c r="B4" s="109">
        <f>_xlfn.XLOOKUP(B$1&amp;$A4,'Task III - multiple indexes'!$FO$4:$FO$84,'Task III - multiple indexes'!$CA$4:$CA$84,0,0)</f>
        <v>0</v>
      </c>
      <c r="C4" s="109">
        <f>_xlfn.XLOOKUP(C$1&amp;$A4,'Task III - multiple indexes'!$FO$4:$FO$84,'Task III - multiple indexes'!$CA$4:$CA$84,0,0)</f>
        <v>0</v>
      </c>
      <c r="D4" s="109">
        <f>_xlfn.XLOOKUP(D$1&amp;$A4,'Task III - multiple indexes'!$FO$4:$FO$84,'Task III - multiple indexes'!$CA$4:$CA$84,0,0)</f>
        <v>0</v>
      </c>
      <c r="E4" s="109">
        <f>_xlfn.XLOOKUP(E$1&amp;$A4,'Task III - multiple indexes'!$FO$4:$FO$84,'Task III - multiple indexes'!$CA$4:$CA$84,0,0)</f>
        <v>0</v>
      </c>
      <c r="F4" s="109">
        <f>_xlfn.XLOOKUP(F$1&amp;$A4,'Task III - multiple indexes'!$FO$4:$FO$84,'Task III - multiple indexes'!$CA$4:$CA$84,0,0)</f>
        <v>0</v>
      </c>
      <c r="G4" s="109">
        <f>_xlfn.XLOOKUP(G$1&amp;$A4,'Task III - multiple indexes'!$FO$4:$FO$84,'Task III - multiple indexes'!$CA$4:$CA$84,0,0)</f>
        <v>0</v>
      </c>
      <c r="H4" s="109">
        <f>_xlfn.XLOOKUP(H$1&amp;$A4,'Task III - multiple indexes'!$FO$4:$FO$84,'Task III - multiple indexes'!$CA$4:$CA$84,0,0)</f>
        <v>0</v>
      </c>
      <c r="I4" s="109">
        <f>_xlfn.XLOOKUP(I$1&amp;$A4,'Task III - multiple indexes'!$FO$4:$FO$84,'Task III - multiple indexes'!$CA$4:$CA$84,0,0)</f>
        <v>0</v>
      </c>
      <c r="J4" s="108">
        <f t="shared" si="0"/>
        <v>0</v>
      </c>
      <c r="K4" s="84" t="str">
        <f t="shared" ca="1" si="1"/>
        <v>Aritmetički prosjek</v>
      </c>
      <c r="L4" s="107">
        <f ca="1">_xlfn.XLOOKUP($K4&amp;$A4,'Task III - multiple indexes'!$FO$4:$FO$84,'Task III - multiple indexes'!BA$4:BA$84,0,0)</f>
        <v>0</v>
      </c>
      <c r="M4" s="107">
        <f ca="1">_xlfn.XLOOKUP($K4&amp;$A4,'Task III - multiple indexes'!$FO$4:$FO$84,'Task III - multiple indexes'!BB$4:BB$84,0,0)</f>
        <v>0</v>
      </c>
      <c r="N4" s="107">
        <f ca="1">_xlfn.XLOOKUP($K4&amp;$A4,'Task III - multiple indexes'!$FO$4:$FO$84,'Task III - multiple indexes'!BC$4:BC$84,0,0)</f>
        <v>0</v>
      </c>
    </row>
    <row r="5" spans="1:14">
      <c r="A5" s="40">
        <v>4</v>
      </c>
      <c r="B5" s="109">
        <f>_xlfn.XLOOKUP(B$1&amp;$A5,'Task III - multiple indexes'!$FO$4:$FO$84,'Task III - multiple indexes'!$CA$4:$CA$84,0,0)</f>
        <v>0</v>
      </c>
      <c r="C5" s="109">
        <f>_xlfn.XLOOKUP(C$1&amp;$A5,'Task III - multiple indexes'!$FO$4:$FO$84,'Task III - multiple indexes'!$CA$4:$CA$84,0,0)</f>
        <v>0</v>
      </c>
      <c r="D5" s="109">
        <f>_xlfn.XLOOKUP(D$1&amp;$A5,'Task III - multiple indexes'!$FO$4:$FO$84,'Task III - multiple indexes'!$CA$4:$CA$84,0,0)</f>
        <v>0</v>
      </c>
      <c r="E5" s="109">
        <f>_xlfn.XLOOKUP(E$1&amp;$A5,'Task III - multiple indexes'!$FO$4:$FO$84,'Task III - multiple indexes'!$CA$4:$CA$84,0,0)</f>
        <v>0</v>
      </c>
      <c r="F5" s="109">
        <f>_xlfn.XLOOKUP(F$1&amp;$A5,'Task III - multiple indexes'!$FO$4:$FO$84,'Task III - multiple indexes'!$CA$4:$CA$84,0,0)</f>
        <v>0</v>
      </c>
      <c r="G5" s="109">
        <f>_xlfn.XLOOKUP(G$1&amp;$A5,'Task III - multiple indexes'!$FO$4:$FO$84,'Task III - multiple indexes'!$CA$4:$CA$84,0,0)</f>
        <v>0</v>
      </c>
      <c r="H5" s="109">
        <f>_xlfn.XLOOKUP(H$1&amp;$A5,'Task III - multiple indexes'!$FO$4:$FO$84,'Task III - multiple indexes'!$CA$4:$CA$84,0,0)</f>
        <v>0</v>
      </c>
      <c r="I5" s="109">
        <f>_xlfn.XLOOKUP(I$1&amp;$A5,'Task III - multiple indexes'!$FO$4:$FO$84,'Task III - multiple indexes'!$CA$4:$CA$84,0,0)</f>
        <v>0</v>
      </c>
      <c r="J5" s="108">
        <f t="shared" si="0"/>
        <v>0</v>
      </c>
      <c r="K5" s="84" t="str">
        <f t="shared" ca="1" si="1"/>
        <v>Aritmetički prosjek</v>
      </c>
      <c r="L5" s="107">
        <f ca="1">_xlfn.XLOOKUP($K5&amp;$A5,'Task III - multiple indexes'!$FO$4:$FO$84,'Task III - multiple indexes'!BA$4:BA$84,0,0)</f>
        <v>0</v>
      </c>
      <c r="M5" s="107">
        <f ca="1">_xlfn.XLOOKUP($K5&amp;$A5,'Task III - multiple indexes'!$FO$4:$FO$84,'Task III - multiple indexes'!BB$4:BB$84,0,0)</f>
        <v>0</v>
      </c>
      <c r="N5" s="107">
        <f ca="1">_xlfn.XLOOKUP($K5&amp;$A5,'Task III - multiple indexes'!$FO$4:$FO$84,'Task III - multiple indexes'!BC$4:BC$84,0,0)</f>
        <v>0</v>
      </c>
    </row>
    <row r="6" spans="1:14">
      <c r="A6" s="40">
        <v>5</v>
      </c>
      <c r="B6" s="109">
        <f>_xlfn.XLOOKUP(B$1&amp;$A6,'Task III - multiple indexes'!$FO$4:$FO$84,'Task III - multiple indexes'!$CA$4:$CA$84,0,0)</f>
        <v>0</v>
      </c>
      <c r="C6" s="109">
        <f>_xlfn.XLOOKUP(C$1&amp;$A6,'Task III - multiple indexes'!$FO$4:$FO$84,'Task III - multiple indexes'!$CA$4:$CA$84,0,0)</f>
        <v>0</v>
      </c>
      <c r="D6" s="109">
        <f>_xlfn.XLOOKUP(D$1&amp;$A6,'Task III - multiple indexes'!$FO$4:$FO$84,'Task III - multiple indexes'!$CA$4:$CA$84,0,0)</f>
        <v>0</v>
      </c>
      <c r="E6" s="109">
        <f>_xlfn.XLOOKUP(E$1&amp;$A6,'Task III - multiple indexes'!$FO$4:$FO$84,'Task III - multiple indexes'!$CA$4:$CA$84,0,0)</f>
        <v>0</v>
      </c>
      <c r="F6" s="109">
        <f>_xlfn.XLOOKUP(F$1&amp;$A6,'Task III - multiple indexes'!$FO$4:$FO$84,'Task III - multiple indexes'!$CA$4:$CA$84,0,0)</f>
        <v>0</v>
      </c>
      <c r="G6" s="109">
        <f>_xlfn.XLOOKUP(G$1&amp;$A6,'Task III - multiple indexes'!$FO$4:$FO$84,'Task III - multiple indexes'!$CA$4:$CA$84,0,0)</f>
        <v>0</v>
      </c>
      <c r="H6" s="109">
        <f>_xlfn.XLOOKUP(H$1&amp;$A6,'Task III - multiple indexes'!$FO$4:$FO$84,'Task III - multiple indexes'!$CA$4:$CA$84,0,0)</f>
        <v>0</v>
      </c>
      <c r="I6" s="109">
        <f>_xlfn.XLOOKUP(I$1&amp;$A6,'Task III - multiple indexes'!$FO$4:$FO$84,'Task III - multiple indexes'!$CA$4:$CA$84,0,0)</f>
        <v>0</v>
      </c>
      <c r="J6" s="108">
        <f t="shared" si="0"/>
        <v>0</v>
      </c>
      <c r="K6" s="84" t="str">
        <f t="shared" ca="1" si="1"/>
        <v>Aritmetički prosjek</v>
      </c>
      <c r="L6" s="107">
        <f ca="1">_xlfn.XLOOKUP($K6&amp;$A6,'Task III - multiple indexes'!$FO$4:$FO$84,'Task III - multiple indexes'!BA$4:BA$84,0,0)</f>
        <v>0</v>
      </c>
      <c r="M6" s="107">
        <f ca="1">_xlfn.XLOOKUP($K6&amp;$A6,'Task III - multiple indexes'!$FO$4:$FO$84,'Task III - multiple indexes'!BB$4:BB$84,0,0)</f>
        <v>0</v>
      </c>
      <c r="N6" s="107">
        <f ca="1">_xlfn.XLOOKUP($K6&amp;$A6,'Task III - multiple indexes'!$FO$4:$FO$84,'Task III - multiple indexes'!BC$4:BC$84,0,0)</f>
        <v>0</v>
      </c>
    </row>
    <row r="7" spans="1:14">
      <c r="A7" s="40">
        <v>6</v>
      </c>
      <c r="B7" s="109">
        <f>_xlfn.XLOOKUP(B$1&amp;$A7,'Task III - multiple indexes'!$FO$4:$FO$84,'Task III - multiple indexes'!$CA$4:$CA$84,0,0)</f>
        <v>0</v>
      </c>
      <c r="C7" s="109">
        <f>_xlfn.XLOOKUP(C$1&amp;$A7,'Task III - multiple indexes'!$FO$4:$FO$84,'Task III - multiple indexes'!$CA$4:$CA$84,0,0)</f>
        <v>0</v>
      </c>
      <c r="D7" s="109">
        <f>_xlfn.XLOOKUP(D$1&amp;$A7,'Task III - multiple indexes'!$FO$4:$FO$84,'Task III - multiple indexes'!$CA$4:$CA$84,0,0)</f>
        <v>0</v>
      </c>
      <c r="E7" s="109">
        <f>_xlfn.XLOOKUP(E$1&amp;$A7,'Task III - multiple indexes'!$FO$4:$FO$84,'Task III - multiple indexes'!$CA$4:$CA$84,0,0)</f>
        <v>0</v>
      </c>
      <c r="F7" s="109">
        <f>_xlfn.XLOOKUP(F$1&amp;$A7,'Task III - multiple indexes'!$FO$4:$FO$84,'Task III - multiple indexes'!$CA$4:$CA$84,0,0)</f>
        <v>0</v>
      </c>
      <c r="G7" s="109">
        <f>_xlfn.XLOOKUP(G$1&amp;$A7,'Task III - multiple indexes'!$FO$4:$FO$84,'Task III - multiple indexes'!$CA$4:$CA$84,0,0)</f>
        <v>0</v>
      </c>
      <c r="H7" s="109">
        <f>_xlfn.XLOOKUP(H$1&amp;$A7,'Task III - multiple indexes'!$FO$4:$FO$84,'Task III - multiple indexes'!$CA$4:$CA$84,0,0)</f>
        <v>0</v>
      </c>
      <c r="I7" s="109">
        <f>_xlfn.XLOOKUP(I$1&amp;$A7,'Task III - multiple indexes'!$FO$4:$FO$84,'Task III - multiple indexes'!$CA$4:$CA$84,0,0)</f>
        <v>0</v>
      </c>
      <c r="J7" s="108">
        <f t="shared" si="0"/>
        <v>0</v>
      </c>
      <c r="K7" s="84" t="str">
        <f t="shared" ca="1" si="1"/>
        <v>Aritmetički prosjek</v>
      </c>
      <c r="L7" s="107">
        <f ca="1">_xlfn.XLOOKUP($K7&amp;$A7,'Task III - multiple indexes'!$FO$4:$FO$84,'Task III - multiple indexes'!BA$4:BA$84,0,0)</f>
        <v>0</v>
      </c>
      <c r="M7" s="107">
        <f ca="1">_xlfn.XLOOKUP($K7&amp;$A7,'Task III - multiple indexes'!$FO$4:$FO$84,'Task III - multiple indexes'!BB$4:BB$84,0,0)</f>
        <v>0</v>
      </c>
      <c r="N7" s="107">
        <f ca="1">_xlfn.XLOOKUP($K7&amp;$A7,'Task III - multiple indexes'!$FO$4:$FO$84,'Task III - multiple indexes'!BC$4:BC$84,0,0)</f>
        <v>0</v>
      </c>
    </row>
    <row r="8" spans="1:14">
      <c r="A8" s="40">
        <v>7</v>
      </c>
      <c r="B8" s="109">
        <f>_xlfn.XLOOKUP(B$1&amp;$A8,'Task III - multiple indexes'!$FO$4:$FO$84,'Task III - multiple indexes'!$CA$4:$CA$84,0,0)</f>
        <v>0</v>
      </c>
      <c r="C8" s="109">
        <f>_xlfn.XLOOKUP(C$1&amp;$A8,'Task III - multiple indexes'!$FO$4:$FO$84,'Task III - multiple indexes'!$CA$4:$CA$84,0,0)</f>
        <v>0</v>
      </c>
      <c r="D8" s="109">
        <f>_xlfn.XLOOKUP(D$1&amp;$A8,'Task III - multiple indexes'!$FO$4:$FO$84,'Task III - multiple indexes'!$CA$4:$CA$84,0,0)</f>
        <v>0</v>
      </c>
      <c r="E8" s="109">
        <f>_xlfn.XLOOKUP(E$1&amp;$A8,'Task III - multiple indexes'!$FO$4:$FO$84,'Task III - multiple indexes'!$CA$4:$CA$84,0,0)</f>
        <v>0</v>
      </c>
      <c r="F8" s="109">
        <f>_xlfn.XLOOKUP(F$1&amp;$A8,'Task III - multiple indexes'!$FO$4:$FO$84,'Task III - multiple indexes'!$CA$4:$CA$84,0,0)</f>
        <v>0</v>
      </c>
      <c r="G8" s="109">
        <f>_xlfn.XLOOKUP(G$1&amp;$A8,'Task III - multiple indexes'!$FO$4:$FO$84,'Task III - multiple indexes'!$CA$4:$CA$84,0,0)</f>
        <v>0</v>
      </c>
      <c r="H8" s="109">
        <f>_xlfn.XLOOKUP(H$1&amp;$A8,'Task III - multiple indexes'!$FO$4:$FO$84,'Task III - multiple indexes'!$CA$4:$CA$84,0,0)</f>
        <v>0</v>
      </c>
      <c r="I8" s="109">
        <f>_xlfn.XLOOKUP(I$1&amp;$A8,'Task III - multiple indexes'!$FO$4:$FO$84,'Task III - multiple indexes'!$CA$4:$CA$84,0,0)</f>
        <v>0</v>
      </c>
      <c r="J8" s="108">
        <f t="shared" si="0"/>
        <v>0</v>
      </c>
      <c r="K8" s="84" t="str">
        <f t="shared" ca="1" si="1"/>
        <v>Aritmetički prosjek</v>
      </c>
      <c r="L8" s="107">
        <f ca="1">_xlfn.XLOOKUP($K8&amp;$A8,'Task III - multiple indexes'!$FO$4:$FO$84,'Task III - multiple indexes'!BA$4:BA$84,0,0)</f>
        <v>0</v>
      </c>
      <c r="M8" s="107">
        <f ca="1">_xlfn.XLOOKUP($K8&amp;$A8,'Task III - multiple indexes'!$FO$4:$FO$84,'Task III - multiple indexes'!BB$4:BB$84,0,0)</f>
        <v>0</v>
      </c>
      <c r="N8" s="107">
        <f ca="1">_xlfn.XLOOKUP($K8&amp;$A8,'Task III - multiple indexes'!$FO$4:$FO$84,'Task III - multiple indexes'!BC$4:BC$84,0,0)</f>
        <v>0</v>
      </c>
    </row>
    <row r="9" spans="1:14">
      <c r="A9" s="40">
        <v>8</v>
      </c>
      <c r="B9" s="109">
        <f>_xlfn.XLOOKUP(B$1&amp;$A9,'Task III - multiple indexes'!$FO$4:$FO$84,'Task III - multiple indexes'!$CA$4:$CA$84,0,0)</f>
        <v>0</v>
      </c>
      <c r="C9" s="109">
        <f>_xlfn.XLOOKUP(C$1&amp;$A9,'Task III - multiple indexes'!$FO$4:$FO$84,'Task III - multiple indexes'!$CA$4:$CA$84,0,0)</f>
        <v>0</v>
      </c>
      <c r="D9" s="109">
        <f>_xlfn.XLOOKUP(D$1&amp;$A9,'Task III - multiple indexes'!$FO$4:$FO$84,'Task III - multiple indexes'!$CA$4:$CA$84,0,0)</f>
        <v>0</v>
      </c>
      <c r="E9" s="109">
        <f>_xlfn.XLOOKUP(E$1&amp;$A9,'Task III - multiple indexes'!$FO$4:$FO$84,'Task III - multiple indexes'!$CA$4:$CA$84,0,0)</f>
        <v>0</v>
      </c>
      <c r="F9" s="109">
        <f>_xlfn.XLOOKUP(F$1&amp;$A9,'Task III - multiple indexes'!$FO$4:$FO$84,'Task III - multiple indexes'!$CA$4:$CA$84,0,0)</f>
        <v>0</v>
      </c>
      <c r="G9" s="109">
        <f>_xlfn.XLOOKUP(G$1&amp;$A9,'Task III - multiple indexes'!$FO$4:$FO$84,'Task III - multiple indexes'!$CA$4:$CA$84,0,0)</f>
        <v>0</v>
      </c>
      <c r="H9" s="109">
        <f>_xlfn.XLOOKUP(H$1&amp;$A9,'Task III - multiple indexes'!$FO$4:$FO$84,'Task III - multiple indexes'!$CA$4:$CA$84,0,0)</f>
        <v>0</v>
      </c>
      <c r="I9" s="109">
        <f>_xlfn.XLOOKUP(I$1&amp;$A9,'Task III - multiple indexes'!$FO$4:$FO$84,'Task III - multiple indexes'!$CA$4:$CA$84,0,0)</f>
        <v>0</v>
      </c>
      <c r="J9" s="108">
        <f t="shared" si="0"/>
        <v>0</v>
      </c>
      <c r="K9" s="84" t="str">
        <f t="shared" ca="1" si="1"/>
        <v>Aritmetički prosjek</v>
      </c>
      <c r="L9" s="107">
        <f ca="1">_xlfn.XLOOKUP($K9&amp;$A9,'Task III - multiple indexes'!$FO$4:$FO$84,'Task III - multiple indexes'!BA$4:BA$84,0,0)</f>
        <v>0</v>
      </c>
      <c r="M9" s="107">
        <f ca="1">_xlfn.XLOOKUP($K9&amp;$A9,'Task III - multiple indexes'!$FO$4:$FO$84,'Task III - multiple indexes'!BB$4:BB$84,0,0)</f>
        <v>0</v>
      </c>
      <c r="N9" s="107">
        <f ca="1">_xlfn.XLOOKUP($K9&amp;$A9,'Task III - multiple indexes'!$FO$4:$FO$84,'Task III - multiple indexes'!BC$4:BC$84,0,0)</f>
        <v>0</v>
      </c>
    </row>
    <row r="10" spans="1:14">
      <c r="A10" s="40">
        <v>9</v>
      </c>
      <c r="B10" s="109">
        <f>_xlfn.XLOOKUP(B$1&amp;$A10,'Task III - multiple indexes'!$FO$4:$FO$84,'Task III - multiple indexes'!$CA$4:$CA$84,0,0)</f>
        <v>0</v>
      </c>
      <c r="C10" s="109">
        <f>_xlfn.XLOOKUP(C$1&amp;$A10,'Task III - multiple indexes'!$FO$4:$FO$84,'Task III - multiple indexes'!$CA$4:$CA$84,0,0)</f>
        <v>0</v>
      </c>
      <c r="D10" s="109">
        <f>_xlfn.XLOOKUP(D$1&amp;$A10,'Task III - multiple indexes'!$FO$4:$FO$84,'Task III - multiple indexes'!$CA$4:$CA$84,0,0)</f>
        <v>0</v>
      </c>
      <c r="E10" s="109">
        <f>_xlfn.XLOOKUP(E$1&amp;$A10,'Task III - multiple indexes'!$FO$4:$FO$84,'Task III - multiple indexes'!$CA$4:$CA$84,0,0)</f>
        <v>0</v>
      </c>
      <c r="F10" s="109">
        <f>_xlfn.XLOOKUP(F$1&amp;$A10,'Task III - multiple indexes'!$FO$4:$FO$84,'Task III - multiple indexes'!$CA$4:$CA$84,0,0)</f>
        <v>0</v>
      </c>
      <c r="G10" s="109">
        <f>_xlfn.XLOOKUP(G$1&amp;$A10,'Task III - multiple indexes'!$FO$4:$FO$84,'Task III - multiple indexes'!$CA$4:$CA$84,0,0)</f>
        <v>0</v>
      </c>
      <c r="H10" s="109">
        <f>_xlfn.XLOOKUP(H$1&amp;$A10,'Task III - multiple indexes'!$FO$4:$FO$84,'Task III - multiple indexes'!$CA$4:$CA$84,0,0)</f>
        <v>0</v>
      </c>
      <c r="I10" s="109">
        <f>_xlfn.XLOOKUP(I$1&amp;$A10,'Task III - multiple indexes'!$FO$4:$FO$84,'Task III - multiple indexes'!$CA$4:$CA$84,0,0)</f>
        <v>0</v>
      </c>
      <c r="J10" s="108">
        <f t="shared" si="0"/>
        <v>0</v>
      </c>
      <c r="K10" s="84" t="str">
        <f t="shared" ca="1" si="1"/>
        <v>Aritmetički prosjek</v>
      </c>
      <c r="L10" s="107">
        <f ca="1">_xlfn.XLOOKUP($K10&amp;$A10,'Task III - multiple indexes'!$FO$4:$FO$84,'Task III - multiple indexes'!BA$4:BA$84,0,0)</f>
        <v>0</v>
      </c>
      <c r="M10" s="107">
        <f ca="1">_xlfn.XLOOKUP($K10&amp;$A10,'Task III - multiple indexes'!$FO$4:$FO$84,'Task III - multiple indexes'!BB$4:BB$84,0,0)</f>
        <v>0</v>
      </c>
      <c r="N10" s="107">
        <f ca="1">_xlfn.XLOOKUP($K10&amp;$A10,'Task III - multiple indexes'!$FO$4:$FO$84,'Task III - multiple indexes'!BC$4:BC$84,0,0)</f>
        <v>0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92fe6ce-cc5e-4661-b3e6-d9d5535f70b5">
      <Terms xmlns="http://schemas.microsoft.com/office/infopath/2007/PartnerControls"/>
    </lcf76f155ced4ddcb4097134ff3c332f>
    <TaxCatchAll xmlns="d9bddfac-6dc9-4958-8f35-4d0da3af229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D1A4C46F9DF340B00409C6B9ED12C1" ma:contentTypeVersion="15" ma:contentTypeDescription="Create a new document." ma:contentTypeScope="" ma:versionID="807fe8d2fbe00adbbda59e825bd0feeb">
  <xsd:schema xmlns:xsd="http://www.w3.org/2001/XMLSchema" xmlns:xs="http://www.w3.org/2001/XMLSchema" xmlns:p="http://schemas.microsoft.com/office/2006/metadata/properties" xmlns:ns2="a92fe6ce-cc5e-4661-b3e6-d9d5535f70b5" xmlns:ns3="d9bddfac-6dc9-4958-8f35-4d0da3af229b" targetNamespace="http://schemas.microsoft.com/office/2006/metadata/properties" ma:root="true" ma:fieldsID="8882b2cf48ada3b4170a4a28ab6cbb29" ns2:_="" ns3:_="">
    <xsd:import namespace="a92fe6ce-cc5e-4661-b3e6-d9d5535f70b5"/>
    <xsd:import namespace="d9bddfac-6dc9-4958-8f35-4d0da3af22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fe6ce-cc5e-4661-b3e6-d9d5535f70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dfb4df37-903f-415b-817d-12eb03f331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bddfac-6dc9-4958-8f35-4d0da3af229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4652e19-0f91-4064-a28d-12f01e91685a}" ma:internalName="TaxCatchAll" ma:showField="CatchAllData" ma:web="d9bddfac-6dc9-4958-8f35-4d0da3af22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115FAF-5E97-45BB-B325-E4E265AE97A7}">
  <ds:schemaRefs>
    <ds:schemaRef ds:uri="http://schemas.microsoft.com/office/2006/metadata/properties"/>
    <ds:schemaRef ds:uri="http://schemas.microsoft.com/office/infopath/2007/PartnerControls"/>
    <ds:schemaRef ds:uri="a92fe6ce-cc5e-4661-b3e6-d9d5535f70b5"/>
    <ds:schemaRef ds:uri="d9bddfac-6dc9-4958-8f35-4d0da3af229b"/>
  </ds:schemaRefs>
</ds:datastoreItem>
</file>

<file path=customXml/itemProps2.xml><?xml version="1.0" encoding="utf-8"?>
<ds:datastoreItem xmlns:ds="http://schemas.openxmlformats.org/officeDocument/2006/customXml" ds:itemID="{82448705-CF9E-4E7C-B188-9A3C310764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4405C7-D480-48DE-8944-11893B0F10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Task I index - vertical</vt:lpstr>
      <vt:lpstr>Task II index - horizontal</vt:lpstr>
      <vt:lpstr>Task III - multiple indexes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Adamczak</dc:creator>
  <cp:lastModifiedBy>Davor Dujak</cp:lastModifiedBy>
  <cp:lastPrinted>2024-05-01T00:02:04Z</cp:lastPrinted>
  <dcterms:created xsi:type="dcterms:W3CDTF">2016-08-24T06:09:22Z</dcterms:created>
  <dcterms:modified xsi:type="dcterms:W3CDTF">2025-05-10T06:39:33Z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0x010100C5D1A4C46F9DF340B00409C6B9ED12C1</vt:lpwstr>
  </property>
</Properties>
</file>